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 год\ЭКОНОМИСТ\"/>
    </mc:Choice>
  </mc:AlternateContent>
  <bookViews>
    <workbookView xWindow="0" yWindow="0" windowWidth="23040" windowHeight="8544"/>
  </bookViews>
  <sheets>
    <sheet name="Лист1" sheetId="1" r:id="rId1"/>
  </sheets>
  <externalReferences>
    <externalReference r:id="rId2"/>
  </externalReferences>
  <definedNames>
    <definedName name="период1_рег">'[1]Доп для заключения'!$D$22</definedName>
    <definedName name="период2_рег">'[1]Доп для заключения'!$D$23</definedName>
    <definedName name="тариф">'[1]Доп для заключения'!$E$12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  <c r="B106" i="1"/>
  <c r="F104" i="1"/>
  <c r="F109" i="1" s="1"/>
  <c r="E104" i="1"/>
  <c r="E109" i="1" s="1"/>
  <c r="P103" i="1"/>
  <c r="M103" i="1"/>
  <c r="P102" i="1"/>
  <c r="M102" i="1"/>
  <c r="P101" i="1"/>
  <c r="M101" i="1"/>
  <c r="P100" i="1"/>
  <c r="M100" i="1"/>
  <c r="P99" i="1"/>
  <c r="M99" i="1"/>
  <c r="P98" i="1"/>
  <c r="M98" i="1"/>
  <c r="P97" i="1"/>
  <c r="M97" i="1"/>
  <c r="O96" i="1"/>
  <c r="N96" i="1"/>
  <c r="L96" i="1"/>
  <c r="K96" i="1"/>
  <c r="J96" i="1"/>
  <c r="I96" i="1"/>
  <c r="H96" i="1"/>
  <c r="M96" i="1" s="1"/>
  <c r="G96" i="1"/>
  <c r="D96" i="1"/>
  <c r="O95" i="1"/>
  <c r="O104" i="1" s="1"/>
  <c r="K95" i="1"/>
  <c r="K104" i="1" s="1"/>
  <c r="P94" i="1"/>
  <c r="M94" i="1"/>
  <c r="P93" i="1"/>
  <c r="M93" i="1"/>
  <c r="P92" i="1"/>
  <c r="M92" i="1"/>
  <c r="P91" i="1"/>
  <c r="M91" i="1"/>
  <c r="P90" i="1"/>
  <c r="M90" i="1"/>
  <c r="P89" i="1"/>
  <c r="M89" i="1"/>
  <c r="P88" i="1"/>
  <c r="M88" i="1"/>
  <c r="O87" i="1"/>
  <c r="N87" i="1"/>
  <c r="M87" i="1"/>
  <c r="L87" i="1"/>
  <c r="K87" i="1"/>
  <c r="J87" i="1"/>
  <c r="I87" i="1"/>
  <c r="H87" i="1"/>
  <c r="P87" i="1" s="1"/>
  <c r="G87" i="1"/>
  <c r="D87" i="1"/>
  <c r="P86" i="1"/>
  <c r="M86" i="1"/>
  <c r="P85" i="1"/>
  <c r="M85" i="1"/>
  <c r="P84" i="1"/>
  <c r="M84" i="1"/>
  <c r="P83" i="1"/>
  <c r="M83" i="1"/>
  <c r="M82" i="1"/>
  <c r="I82" i="1"/>
  <c r="P82" i="1" s="1"/>
  <c r="P81" i="1"/>
  <c r="M81" i="1"/>
  <c r="O80" i="1"/>
  <c r="N80" i="1"/>
  <c r="M80" i="1"/>
  <c r="L80" i="1"/>
  <c r="K80" i="1"/>
  <c r="J80" i="1"/>
  <c r="I80" i="1"/>
  <c r="H80" i="1"/>
  <c r="P80" i="1" s="1"/>
  <c r="G80" i="1"/>
  <c r="D80" i="1"/>
  <c r="P79" i="1"/>
  <c r="M79" i="1"/>
  <c r="P78" i="1"/>
  <c r="M78" i="1"/>
  <c r="P77" i="1"/>
  <c r="M77" i="1"/>
  <c r="P76" i="1"/>
  <c r="M76" i="1"/>
  <c r="P75" i="1"/>
  <c r="M75" i="1"/>
  <c r="P74" i="1"/>
  <c r="O73" i="1"/>
  <c r="N73" i="1"/>
  <c r="N69" i="1" s="1"/>
  <c r="N60" i="1" s="1"/>
  <c r="L73" i="1"/>
  <c r="K73" i="1"/>
  <c r="G73" i="1"/>
  <c r="G69" i="1" s="1"/>
  <c r="D73" i="1"/>
  <c r="M73" i="1" s="1"/>
  <c r="J72" i="1"/>
  <c r="P72" i="1" s="1"/>
  <c r="P71" i="1"/>
  <c r="M71" i="1"/>
  <c r="P70" i="1"/>
  <c r="M70" i="1"/>
  <c r="O69" i="1"/>
  <c r="L69" i="1"/>
  <c r="K69" i="1"/>
  <c r="J69" i="1"/>
  <c r="I69" i="1"/>
  <c r="D69" i="1"/>
  <c r="P68" i="1"/>
  <c r="M68" i="1"/>
  <c r="P67" i="1"/>
  <c r="M67" i="1"/>
  <c r="P66" i="1"/>
  <c r="M66" i="1"/>
  <c r="P65" i="1"/>
  <c r="M65" i="1"/>
  <c r="P64" i="1"/>
  <c r="M64" i="1"/>
  <c r="P63" i="1"/>
  <c r="M63" i="1"/>
  <c r="P62" i="1"/>
  <c r="M62" i="1"/>
  <c r="M61" i="1" s="1"/>
  <c r="O61" i="1"/>
  <c r="N61" i="1"/>
  <c r="L61" i="1"/>
  <c r="K61" i="1"/>
  <c r="J61" i="1"/>
  <c r="I61" i="1"/>
  <c r="I60" i="1" s="1"/>
  <c r="H61" i="1"/>
  <c r="G61" i="1"/>
  <c r="D61" i="1"/>
  <c r="P61" i="1" s="1"/>
  <c r="O60" i="1"/>
  <c r="L60" i="1"/>
  <c r="K60" i="1"/>
  <c r="J60" i="1"/>
  <c r="H60" i="1"/>
  <c r="D60" i="1"/>
  <c r="P59" i="1"/>
  <c r="P58" i="1"/>
  <c r="J58" i="1"/>
  <c r="M58" i="1" s="1"/>
  <c r="M57" i="1"/>
  <c r="J57" i="1"/>
  <c r="P57" i="1" s="1"/>
  <c r="P56" i="1"/>
  <c r="M56" i="1"/>
  <c r="P55" i="1"/>
  <c r="M55" i="1"/>
  <c r="J54" i="1"/>
  <c r="P54" i="1" s="1"/>
  <c r="P53" i="1"/>
  <c r="M53" i="1"/>
  <c r="P52" i="1"/>
  <c r="M52" i="1"/>
  <c r="O51" i="1"/>
  <c r="N51" i="1"/>
  <c r="L51" i="1"/>
  <c r="K51" i="1"/>
  <c r="I51" i="1"/>
  <c r="H51" i="1"/>
  <c r="G51" i="1"/>
  <c r="D51" i="1"/>
  <c r="P50" i="1"/>
  <c r="M50" i="1"/>
  <c r="P49" i="1"/>
  <c r="M49" i="1"/>
  <c r="P48" i="1"/>
  <c r="M48" i="1"/>
  <c r="P47" i="1"/>
  <c r="M47" i="1"/>
  <c r="P46" i="1"/>
  <c r="M46" i="1"/>
  <c r="O45" i="1"/>
  <c r="N45" i="1"/>
  <c r="L45" i="1"/>
  <c r="J45" i="1"/>
  <c r="I45" i="1"/>
  <c r="G45" i="1"/>
  <c r="D45" i="1"/>
  <c r="M45" i="1" s="1"/>
  <c r="P44" i="1"/>
  <c r="N43" i="1"/>
  <c r="J43" i="1"/>
  <c r="G43" i="1"/>
  <c r="G39" i="1" s="1"/>
  <c r="M39" i="1" s="1"/>
  <c r="N42" i="1"/>
  <c r="J42" i="1"/>
  <c r="P42" i="1" s="1"/>
  <c r="P41" i="1"/>
  <c r="M41" i="1"/>
  <c r="P40" i="1"/>
  <c r="M40" i="1"/>
  <c r="O39" i="1"/>
  <c r="N39" i="1"/>
  <c r="L39" i="1"/>
  <c r="K39" i="1"/>
  <c r="I39" i="1"/>
  <c r="H39" i="1"/>
  <c r="D39" i="1"/>
  <c r="P39" i="1" s="1"/>
  <c r="M38" i="1"/>
  <c r="L38" i="1"/>
  <c r="J38" i="1"/>
  <c r="P38" i="1" s="1"/>
  <c r="P37" i="1"/>
  <c r="M37" i="1"/>
  <c r="P36" i="1"/>
  <c r="O35" i="1"/>
  <c r="N35" i="1"/>
  <c r="N31" i="1" s="1"/>
  <c r="N34" i="1" s="1"/>
  <c r="J35" i="1"/>
  <c r="H35" i="1"/>
  <c r="G35" i="1"/>
  <c r="P35" i="1" s="1"/>
  <c r="D35" i="1"/>
  <c r="M35" i="1" s="1"/>
  <c r="L34" i="1"/>
  <c r="K34" i="1"/>
  <c r="J34" i="1"/>
  <c r="M34" i="1" s="1"/>
  <c r="P33" i="1"/>
  <c r="M33" i="1"/>
  <c r="P32" i="1"/>
  <c r="M32" i="1"/>
  <c r="O31" i="1"/>
  <c r="O34" i="1" s="1"/>
  <c r="L31" i="1"/>
  <c r="K31" i="1"/>
  <c r="J31" i="1"/>
  <c r="I31" i="1"/>
  <c r="H31" i="1"/>
  <c r="D31" i="1"/>
  <c r="P30" i="1"/>
  <c r="M30" i="1"/>
  <c r="P29" i="1"/>
  <c r="M29" i="1"/>
  <c r="M28" i="1"/>
  <c r="P27" i="1"/>
  <c r="M27" i="1"/>
  <c r="P26" i="1"/>
  <c r="M26" i="1"/>
  <c r="P25" i="1"/>
  <c r="M25" i="1"/>
  <c r="P24" i="1"/>
  <c r="M24" i="1"/>
  <c r="P23" i="1"/>
  <c r="M23" i="1"/>
  <c r="M22" i="1"/>
  <c r="L22" i="1"/>
  <c r="K22" i="1"/>
  <c r="J22" i="1"/>
  <c r="P22" i="1" s="1"/>
  <c r="P21" i="1"/>
  <c r="M21" i="1"/>
  <c r="P20" i="1"/>
  <c r="M20" i="1"/>
  <c r="P19" i="1"/>
  <c r="M19" i="1"/>
  <c r="O18" i="1"/>
  <c r="N18" i="1"/>
  <c r="M18" i="1"/>
  <c r="L18" i="1"/>
  <c r="K18" i="1"/>
  <c r="J18" i="1"/>
  <c r="J17" i="1" s="1"/>
  <c r="I18" i="1"/>
  <c r="H18" i="1"/>
  <c r="G18" i="1"/>
  <c r="D18" i="1"/>
  <c r="P18" i="1" s="1"/>
  <c r="O17" i="1"/>
  <c r="L17" i="1"/>
  <c r="L95" i="1" s="1"/>
  <c r="L104" i="1" s="1"/>
  <c r="K17" i="1"/>
  <c r="I17" i="1"/>
  <c r="I95" i="1" s="1"/>
  <c r="I104" i="1" s="1"/>
  <c r="H17" i="1"/>
  <c r="H95" i="1" s="1"/>
  <c r="H104" i="1" s="1"/>
  <c r="P13" i="1"/>
  <c r="P10" i="1" s="1"/>
  <c r="O13" i="1"/>
  <c r="N13" i="1"/>
  <c r="L13" i="1"/>
  <c r="K13" i="1"/>
  <c r="K10" i="1" s="1"/>
  <c r="J13" i="1"/>
  <c r="I13" i="1"/>
  <c r="H13" i="1"/>
  <c r="G13" i="1"/>
  <c r="G10" i="1" s="1"/>
  <c r="D13" i="1"/>
  <c r="O10" i="1"/>
  <c r="N10" i="1"/>
  <c r="L10" i="1"/>
  <c r="J10" i="1"/>
  <c r="I10" i="1"/>
  <c r="H10" i="1"/>
  <c r="F10" i="1"/>
  <c r="E10" i="1"/>
  <c r="D10" i="1"/>
  <c r="F8" i="1"/>
  <c r="E8" i="1"/>
  <c r="F5" i="1"/>
  <c r="P69" i="1" l="1"/>
  <c r="G60" i="1"/>
  <c r="P60" i="1" s="1"/>
  <c r="M69" i="1"/>
  <c r="L109" i="1"/>
  <c r="L105" i="1"/>
  <c r="L106" i="1" s="1"/>
  <c r="L107" i="1" s="1"/>
  <c r="L108" i="1" s="1"/>
  <c r="M31" i="1"/>
  <c r="M17" i="1" s="1"/>
  <c r="H109" i="1"/>
  <c r="H105" i="1"/>
  <c r="H106" i="1" s="1"/>
  <c r="H107" i="1" s="1"/>
  <c r="H108" i="1" s="1"/>
  <c r="O109" i="1"/>
  <c r="O105" i="1"/>
  <c r="O106" i="1" s="1"/>
  <c r="O107" i="1" s="1"/>
  <c r="O108" i="1" s="1"/>
  <c r="I105" i="1"/>
  <c r="I106" i="1" s="1"/>
  <c r="I107" i="1" s="1"/>
  <c r="I108" i="1" s="1"/>
  <c r="I109" i="1"/>
  <c r="N17" i="1"/>
  <c r="N95" i="1" s="1"/>
  <c r="N104" i="1" s="1"/>
  <c r="M60" i="1"/>
  <c r="K109" i="1"/>
  <c r="K105" i="1"/>
  <c r="K106" i="1" s="1"/>
  <c r="K107" i="1" s="1"/>
  <c r="K108" i="1" s="1"/>
  <c r="P96" i="1"/>
  <c r="D17" i="1"/>
  <c r="M42" i="1"/>
  <c r="J51" i="1"/>
  <c r="P51" i="1" s="1"/>
  <c r="M54" i="1"/>
  <c r="M51" i="1" s="1"/>
  <c r="M72" i="1"/>
  <c r="P43" i="1"/>
  <c r="G31" i="1"/>
  <c r="G17" i="1" s="1"/>
  <c r="G95" i="1" s="1"/>
  <c r="G104" i="1" s="1"/>
  <c r="P34" i="1"/>
  <c r="M43" i="1"/>
  <c r="P45" i="1"/>
  <c r="P73" i="1"/>
  <c r="G109" i="1" l="1"/>
  <c r="G105" i="1"/>
  <c r="G106" i="1" s="1"/>
  <c r="G107" i="1" s="1"/>
  <c r="G108" i="1" s="1"/>
  <c r="J95" i="1"/>
  <c r="J104" i="1" s="1"/>
  <c r="D95" i="1"/>
  <c r="P17" i="1"/>
  <c r="M95" i="1"/>
  <c r="N109" i="1"/>
  <c r="N105" i="1"/>
  <c r="N106" i="1" s="1"/>
  <c r="N107" i="1" s="1"/>
  <c r="N108" i="1" s="1"/>
  <c r="P31" i="1"/>
  <c r="D104" i="1" l="1"/>
  <c r="P95" i="1"/>
  <c r="J105" i="1"/>
  <c r="J106" i="1" s="1"/>
  <c r="J107" i="1" s="1"/>
  <c r="J109" i="1"/>
  <c r="D109" i="1" l="1"/>
  <c r="P104" i="1"/>
  <c r="M104" i="1"/>
  <c r="M109" i="1" s="1"/>
  <c r="D105" i="1"/>
  <c r="M105" i="1" l="1"/>
  <c r="P105" i="1"/>
  <c r="D106" i="1"/>
  <c r="D107" i="1" s="1"/>
  <c r="D108" i="1" s="1"/>
  <c r="P109" i="1"/>
</calcChain>
</file>

<file path=xl/sharedStrings.xml><?xml version="1.0" encoding="utf-8"?>
<sst xmlns="http://schemas.openxmlformats.org/spreadsheetml/2006/main" count="298" uniqueCount="189">
  <si>
    <t>МКП "Подгоренский центр коммунальных услуг"</t>
  </si>
  <si>
    <t>ПЛАН  ЗАКУПОК</t>
  </si>
  <si>
    <t>Количество месяцев в периоде</t>
  </si>
  <si>
    <t>№ п/п</t>
  </si>
  <si>
    <t>Наименование</t>
  </si>
  <si>
    <t>Единица измерений</t>
  </si>
  <si>
    <t>2016 год</t>
  </si>
  <si>
    <t>Водоснабжение, тыс.м3</t>
  </si>
  <si>
    <t>Водоотведение, тыс.м3</t>
  </si>
  <si>
    <t>Очистка сточных вод, тыс.м3</t>
  </si>
  <si>
    <t>Водоснабжение Сагуны, тыс.м3</t>
  </si>
  <si>
    <t>Отопление, тыс.Гкал</t>
  </si>
  <si>
    <t>Вывоз ТБО,м3</t>
  </si>
  <si>
    <t>Вывоз ЖБО</t>
  </si>
  <si>
    <t>ИТОГО по тарифицированным услугам</t>
  </si>
  <si>
    <t>Благоустройство</t>
  </si>
  <si>
    <t>Прочие</t>
  </si>
  <si>
    <t>ВСЕГО</t>
  </si>
  <si>
    <t>всего</t>
  </si>
  <si>
    <t>9.1</t>
  </si>
  <si>
    <t>9.2</t>
  </si>
  <si>
    <t>Объем , отпущенный из сети, всего, в т. ч.:</t>
  </si>
  <si>
    <t>тыс. м3/Гкал</t>
  </si>
  <si>
    <t>потери</t>
  </si>
  <si>
    <t>Потребление на собственные нужды (не связанные с регулируемым видом деятельности)</t>
  </si>
  <si>
    <t>Объем , отпущенный абонентам</t>
  </si>
  <si>
    <t>2.1</t>
  </si>
  <si>
    <t>население</t>
  </si>
  <si>
    <t>2.2</t>
  </si>
  <si>
    <t>организации, финансируемые из бюджетов всех уровней</t>
  </si>
  <si>
    <t>2.3</t>
  </si>
  <si>
    <t>прочие организации</t>
  </si>
  <si>
    <t>Производственные расходы</t>
  </si>
  <si>
    <t>тыс. руб.</t>
  </si>
  <si>
    <t>1.1</t>
  </si>
  <si>
    <t>Расходы на приобретение сырья и материалов и их хранение</t>
  </si>
  <si>
    <t>1.1.1</t>
  </si>
  <si>
    <t>Реагенты</t>
  </si>
  <si>
    <t>1.1.2</t>
  </si>
  <si>
    <t>Горюче-смазочные материалы</t>
  </si>
  <si>
    <t>1.1.3</t>
  </si>
  <si>
    <t>Материалы и малоценные основные средства</t>
  </si>
  <si>
    <t>1.2</t>
  </si>
  <si>
    <t xml:space="preserve">Расходы на энергетические ресурсы </t>
  </si>
  <si>
    <t>1.2.1</t>
  </si>
  <si>
    <t>электроэнергия</t>
  </si>
  <si>
    <t>1.2.1.1</t>
  </si>
  <si>
    <t>объем покупной электроэнергии (на пр-во)</t>
  </si>
  <si>
    <t>тыс. кВт.ч.</t>
  </si>
  <si>
    <t>1.2.1.2</t>
  </si>
  <si>
    <t>средний тариф на покупную электроэнергию</t>
  </si>
  <si>
    <t>руб./кВт.ч.</t>
  </si>
  <si>
    <t>1.2.1.3</t>
  </si>
  <si>
    <t>удельный расход э/э</t>
  </si>
  <si>
    <t>кВт.ч./м3</t>
  </si>
  <si>
    <t>1.2.2</t>
  </si>
  <si>
    <t>газ</t>
  </si>
  <si>
    <t>холодная вода</t>
  </si>
  <si>
    <t>1.2.5</t>
  </si>
  <si>
    <t>водоотведение</t>
  </si>
  <si>
    <t>1.3</t>
  </si>
  <si>
    <t xml:space="preserve">Расходы на страхование котельных
</t>
  </si>
  <si>
    <t>1.4</t>
  </si>
  <si>
    <t>Расходы на оплату труда и отчисления на социальные нужды основного производственного персонала, в том числе налоги и сборы:</t>
  </si>
  <si>
    <t>1.4.1</t>
  </si>
  <si>
    <t>Расходы на оплату труда производственного персонала</t>
  </si>
  <si>
    <t>1.4.1.1</t>
  </si>
  <si>
    <t>численность</t>
  </si>
  <si>
    <t>чел</t>
  </si>
  <si>
    <t>1.4.1.2</t>
  </si>
  <si>
    <t>среднемесячная з/п</t>
  </si>
  <si>
    <t>руб./мес</t>
  </si>
  <si>
    <t>1.4.2</t>
  </si>
  <si>
    <t>Отчисления на социальные нужды производственного персонала, в том числе налоги и сборы</t>
  </si>
  <si>
    <t>%</t>
  </si>
  <si>
    <t>1.5</t>
  </si>
  <si>
    <t>Расходы по сомнительным долгам</t>
  </si>
  <si>
    <t>1.6</t>
  </si>
  <si>
    <t>Общехозяйственные цеховые расходы</t>
  </si>
  <si>
    <t>1.6.1</t>
  </si>
  <si>
    <t>Расходы на оплату труда и отчисления на социальные нужды цехового персонала, в том числе налоги и сборы :</t>
  </si>
  <si>
    <t>1.6.1.1</t>
  </si>
  <si>
    <t>Расходы на оплату труда цехового персонала</t>
  </si>
  <si>
    <t>1.6.1.1.1</t>
  </si>
  <si>
    <t>чел.</t>
  </si>
  <si>
    <t>1.6.1.1.2</t>
  </si>
  <si>
    <t>руб.</t>
  </si>
  <si>
    <t>1.6.1.2</t>
  </si>
  <si>
    <t>Отчисления на социальные нужды цехового персонала, в том числе налоги и сборы</t>
  </si>
  <si>
    <t>1.7</t>
  </si>
  <si>
    <t>Прочие производственные расходы</t>
  </si>
  <si>
    <t>1.7.1</t>
  </si>
  <si>
    <t>Геологический отчет</t>
  </si>
  <si>
    <t>1.7.2</t>
  </si>
  <si>
    <t>Охрана труда</t>
  </si>
  <si>
    <t>1.7.3</t>
  </si>
  <si>
    <t>Контроль качества воды и сточных вод</t>
  </si>
  <si>
    <t>1.7.4</t>
  </si>
  <si>
    <t>Расходы на аварийно-диспетчерское обслуживание</t>
  </si>
  <si>
    <t>1.7.5</t>
  </si>
  <si>
    <t>прочие</t>
  </si>
  <si>
    <t>Ремонтные расходы</t>
  </si>
  <si>
    <t xml:space="preserve">Расходы на текущий
ремонт централизованных систем </t>
  </si>
  <si>
    <t>Расходы на капитальный ремонт централизованных систем водоснабжения и (или) водоотведения либо объектов, входящих в состав таких систем</t>
  </si>
  <si>
    <t>Расходы на оплату труда и отчисления на социальные нужды ремонтного персонала, в том числе налоги и сборы</t>
  </si>
  <si>
    <t>2.3.1</t>
  </si>
  <si>
    <t>Расходы на оплату труда ремонтного персонала</t>
  </si>
  <si>
    <t>2.3.1.1</t>
  </si>
  <si>
    <t>2.3.1.2</t>
  </si>
  <si>
    <t>2.3.2</t>
  </si>
  <si>
    <t>Отчисления на социальные нужды ремонтного персонала, в том числе налоги и сборы</t>
  </si>
  <si>
    <t>Административные общехозяйственные  расходы</t>
  </si>
  <si>
    <t>3.1</t>
  </si>
  <si>
    <t>Расходы на оплату работ и услуг, выполняемых сторонними организациями</t>
  </si>
  <si>
    <t>3.1.1</t>
  </si>
  <si>
    <t>услуги связи и интернет</t>
  </si>
  <si>
    <t>3.1.2</t>
  </si>
  <si>
    <t>юридические услуги</t>
  </si>
  <si>
    <t>3.1.3</t>
  </si>
  <si>
    <t>аудиторские услуги</t>
  </si>
  <si>
    <t>3.1.4</t>
  </si>
  <si>
    <t>консультационные услуги</t>
  </si>
  <si>
    <t>3.1.5</t>
  </si>
  <si>
    <t>электроэнергия на общехозяйственные нужды</t>
  </si>
  <si>
    <t>3.1.6</t>
  </si>
  <si>
    <t>информационные услуги</t>
  </si>
  <si>
    <t>3.1.7</t>
  </si>
  <si>
    <t>управленческие услуги</t>
  </si>
  <si>
    <t>3.2</t>
  </si>
  <si>
    <t>Расходы на оплату труда и отчисления на социальные нужды административно-управленческого персонала, в том числе налоги и сборы</t>
  </si>
  <si>
    <t>3.2.1</t>
  </si>
  <si>
    <t>Расходы на оплату труда административно-управленческого персонала</t>
  </si>
  <si>
    <t>3.2.1.1</t>
  </si>
  <si>
    <t>3.2.1.2</t>
  </si>
  <si>
    <t>3.2.2</t>
  </si>
  <si>
    <t>Отчисления на социальные нужды административно-управленческого персонала, в том числе налоги и сборы</t>
  </si>
  <si>
    <t>3.4</t>
  </si>
  <si>
    <t>Служебные командировки</t>
  </si>
  <si>
    <t>3.5</t>
  </si>
  <si>
    <t>Обучение персонала</t>
  </si>
  <si>
    <t>3.6</t>
  </si>
  <si>
    <t>Страхование производственных
объектов</t>
  </si>
  <si>
    <t>3.7</t>
  </si>
  <si>
    <t>Прочие административные расходы, в том числе</t>
  </si>
  <si>
    <t>3.7.1</t>
  </si>
  <si>
    <t>Расходы на амортизацию непроизводственных активов</t>
  </si>
  <si>
    <t>Амортизация</t>
  </si>
  <si>
    <t>4.1</t>
  </si>
  <si>
    <t>Амортизация основных средств и нематериальных активов</t>
  </si>
  <si>
    <t>Расходы на арендную плату</t>
  </si>
  <si>
    <t>5.1</t>
  </si>
  <si>
    <t>Аренда имущества</t>
  </si>
  <si>
    <t>6.2</t>
  </si>
  <si>
    <t>Концессионная плата</t>
  </si>
  <si>
    <t>6.3</t>
  </si>
  <si>
    <t>Лизинговые платежи</t>
  </si>
  <si>
    <t>6.4</t>
  </si>
  <si>
    <t>Аренда земельных участков</t>
  </si>
  <si>
    <t>Расходы, связанные с уплатой налогов и сборов</t>
  </si>
  <si>
    <t>6.1</t>
  </si>
  <si>
    <t>Налог на прибыль</t>
  </si>
  <si>
    <t>Налог на имущество организаций</t>
  </si>
  <si>
    <t>Плата за негативное воздействие на окружающую среду</t>
  </si>
  <si>
    <t>Водный налог и плата за пользование водным объектом</t>
  </si>
  <si>
    <t>6.5</t>
  </si>
  <si>
    <t>Земельный налог</t>
  </si>
  <si>
    <t>6.6</t>
  </si>
  <si>
    <t>Транспортный налог</t>
  </si>
  <si>
    <t>6.7</t>
  </si>
  <si>
    <t>УСН</t>
  </si>
  <si>
    <t>Итого расходы, включаемы в НВВ</t>
  </si>
  <si>
    <t>Нормативная прибыль</t>
  </si>
  <si>
    <t>8.1</t>
  </si>
  <si>
    <t>Средства на возврат займов и кредитов и процентов по ним</t>
  </si>
  <si>
    <t>8.2</t>
  </si>
  <si>
    <t>Расходы на капитальные вложения</t>
  </si>
  <si>
    <t>8.3</t>
  </si>
  <si>
    <t>Расходы на социальные нужды, предусмотренные коллективными договорами</t>
  </si>
  <si>
    <t>8.4</t>
  </si>
  <si>
    <r>
      <t xml:space="preserve">Другие расходы, не учитываемые в соответствии с Налоговым кодексом Российской Федерации при определении налоговой базы налога на прибыль </t>
    </r>
    <r>
      <rPr>
        <i/>
        <sz val="11"/>
        <rFont val="Times New Roman"/>
        <family val="1"/>
        <charset val="204"/>
      </rPr>
      <t>(прибыль, остающаяся в распоряжении регулируемой организации, в размере не менее 3 процентов текущих расходов )</t>
    </r>
  </si>
  <si>
    <t>8.5</t>
  </si>
  <si>
    <t>Величина нормативной прибыли, определенная в соответствии с пунктом 31 настоящих Методических указаний - в размере не более 7 %</t>
  </si>
  <si>
    <t xml:space="preserve">Предпринимательская прибыль гарантирующей организации
</t>
  </si>
  <si>
    <t xml:space="preserve">Величина предпринимательской прибыли гарантирующей организации - в размере не более 5 % от  НВВ </t>
  </si>
  <si>
    <t>Итого НВВ</t>
  </si>
  <si>
    <t>Итого НВВ (с НДС)</t>
  </si>
  <si>
    <t>руб. м3</t>
  </si>
  <si>
    <t>Рост тарифа</t>
  </si>
  <si>
    <t>Всего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</si>
</sst>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3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i/>
      <sz val="11"/>
      <color indexed="36"/>
      <name val="Times New Roman"/>
      <family val="1"/>
      <charset val="204"/>
    </font>
    <font>
      <i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43" fontId="2" fillId="3" borderId="8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 indent="2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43" fontId="2" fillId="7" borderId="8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2"/>
    </xf>
    <xf numFmtId="43" fontId="2" fillId="8" borderId="8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2"/>
    </xf>
    <xf numFmtId="43" fontId="8" fillId="7" borderId="8" xfId="1" applyFont="1" applyFill="1" applyBorder="1" applyAlignment="1">
      <alignment horizontal="center" vertical="center"/>
    </xf>
    <xf numFmtId="43" fontId="8" fillId="2" borderId="8" xfId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7" borderId="8" xfId="1" applyFont="1" applyFill="1" applyBorder="1" applyAlignment="1">
      <alignment horizontal="center" vertical="center"/>
    </xf>
    <xf numFmtId="43" fontId="9" fillId="2" borderId="8" xfId="1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 indent="1"/>
    </xf>
    <xf numFmtId="43" fontId="9" fillId="8" borderId="8" xfId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 indent="1"/>
    </xf>
    <xf numFmtId="43" fontId="10" fillId="7" borderId="8" xfId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43" fontId="7" fillId="7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7" fillId="6" borderId="8" xfId="0" applyFont="1" applyFill="1" applyBorder="1" applyAlignment="1">
      <alignment vertical="center" wrapText="1"/>
    </xf>
    <xf numFmtId="43" fontId="2" fillId="6" borderId="8" xfId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indent="1"/>
    </xf>
    <xf numFmtId="0" fontId="7" fillId="6" borderId="8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left" vertical="center" wrapText="1" indent="1"/>
    </xf>
    <xf numFmtId="43" fontId="7" fillId="9" borderId="8" xfId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top" wrapText="1"/>
    </xf>
    <xf numFmtId="0" fontId="11" fillId="0" borderId="8" xfId="0" applyFont="1" applyBorder="1" applyAlignment="1">
      <alignment horizontal="center" vertical="center"/>
    </xf>
    <xf numFmtId="43" fontId="11" fillId="7" borderId="8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 wrapText="1"/>
    </xf>
    <xf numFmtId="49" fontId="11" fillId="0" borderId="8" xfId="0" applyNumberFormat="1" applyFont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3" borderId="1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0" borderId="8" xfId="0" applyFont="1" applyBorder="1" applyAlignment="1"/>
    <xf numFmtId="164" fontId="2" fillId="0" borderId="8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%20&#1075;&#1086;&#1076;/&#1058;&#1072;&#1088;&#1080;&#1092;&#1099;%202015/&#1054;&#1090;&#1087;&#1088;&#1072;&#1074;&#1083;&#1077;&#1085;&#1085;&#1099;&#1077;%20&#1043;&#1059;&#1058;/&#1050;&#1086;&#1087;&#1080;&#1103;%20&#1091;&#1090;&#1086;&#1095;&#1085;&#1077;&#1085;&#1085;&#1099;&#1081;%202015/&#1085;&#1086;&#1074;&#1099;&#1081;%20&#1096;&#1072;&#1073;&#1083;&#1086;&#1085;%20&#1047;&#1072;&#1082;&#1083;&#1102;&#1095;&#1077;&#1085;&#1080;&#1077;%20&#1042;&#1057;%20&#1084;&#1077;&#1090;&#1086;&#1076;%20&#1101;&#1082;&#1086;&#1085;.&#1086;&#1073;&#1086;&#1089;&#1085;.&#1088;&#1072;&#1089;&#1093;&#1086;&#1076;&#1086;&#1074;_&#1074;&#1077;&#1088;&#1089;%202%20&#1052;&#1050;&#1055;%20&#1055;&#1062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STR_MO"/>
      <sheetName val="TEHSHEET"/>
      <sheetName val="Список листов"/>
      <sheetName val="Титульный лист"/>
      <sheetName val="Индексы"/>
      <sheetName val="Доп для заключения"/>
      <sheetName val="список МО"/>
      <sheetName val="Покупная вода"/>
      <sheetName val="Баланс ВС_прил1"/>
      <sheetName val="Целевые показатели ВС"/>
      <sheetName val="ПМ оборудование ВС"/>
      <sheetName val="Утверждено УРТ"/>
      <sheetName val="Сырье_материалы_прил2.1.1"/>
      <sheetName val="Сырье_материалы_прил 2.1"/>
      <sheetName val="расчет_ЭЭ"/>
      <sheetName val="ЭЭ ср. тариф за 9 мес и ожид"/>
      <sheetName val="Электроэнергия_прил2.1.2"/>
      <sheetName val="Вода_прил2.1.6"/>
      <sheetName val="расч числ ВС"/>
      <sheetName val="ФОТ_прил_2.2.1"/>
      <sheetName val="Методика"/>
      <sheetName val="Титульный ПП"/>
      <sheetName val="ПО ВС"/>
      <sheetName val="Перечень абонентов ВС"/>
      <sheetName val="Реестр договоров"/>
      <sheetName val="План эффективности ВС"/>
      <sheetName val="Отчет"/>
      <sheetName val="ПМ сети ВС"/>
      <sheetName val="ФОТ_прил2.2 "/>
      <sheetName val="справка по ОФ"/>
      <sheetName val="произв показатели"/>
      <sheetName val="Титул_расчет_ФП"/>
      <sheetName val="Расчет тариф"/>
      <sheetName val="ЭЭ ср. тариф факт"/>
      <sheetName val="Амортизация"/>
      <sheetName val="Проц займы кредиты"/>
      <sheetName val="распределение  адм и цеховых"/>
      <sheetName val="Общехоз стр 1.6 сметы"/>
      <sheetName val="административные"/>
      <sheetName val="Прочие ПР стр 1.7 сметы "/>
      <sheetName val="ТР и ТО факт"/>
      <sheetName val="ТР и ТО план"/>
      <sheetName val="КР факт"/>
      <sheetName val="КР план"/>
      <sheetName val="Аренда (лизинг)"/>
      <sheetName val="Кап вложения"/>
      <sheetName val="водный налог - расчет"/>
      <sheetName val="земельный налог - расчет"/>
      <sheetName val="транспортный налог - расчет"/>
      <sheetName val="налоги"/>
      <sheetName val="Смета"/>
      <sheetName val="расчет тарифа"/>
      <sheetName val="Заключение ЭК"/>
      <sheetName val="сравнительный анализ НВВ и расх"/>
    </sheetNames>
    <sheetDataSet>
      <sheetData sheetId="0"/>
      <sheetData sheetId="1"/>
      <sheetData sheetId="2"/>
      <sheetData sheetId="3">
        <row r="11">
          <cell r="D11" t="str">
            <v>2015</v>
          </cell>
        </row>
      </sheetData>
      <sheetData sheetId="4"/>
      <sheetData sheetId="5">
        <row r="3">
          <cell r="E3" t="str">
            <v>да</v>
          </cell>
        </row>
        <row r="12">
          <cell r="E12" t="str">
            <v>питьевую воду (питьевое водоснабжение)</v>
          </cell>
        </row>
        <row r="22">
          <cell r="D22" t="str">
            <v>с 01.01.2015 г по 30.06.2015 г.</v>
          </cell>
        </row>
        <row r="23">
          <cell r="D23" t="str">
            <v>с 01.07.2015 г по 31.12.2015 г.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="75" zoomScaleNormal="75" workbookViewId="0">
      <selection activeCell="A89" sqref="A89:XFD90"/>
    </sheetView>
  </sheetViews>
  <sheetFormatPr defaultRowHeight="14.4" x14ac:dyDescent="0.3"/>
  <cols>
    <col min="1" max="1" width="4.109375" customWidth="1"/>
    <col min="2" max="2" width="35.21875" customWidth="1"/>
    <col min="3" max="3" width="13.88671875" customWidth="1"/>
    <col min="4" max="16" width="14.33203125" customWidth="1"/>
  </cols>
  <sheetData>
    <row r="1" spans="1:16" ht="15.6" x14ac:dyDescent="0.3">
      <c r="A1" s="1"/>
      <c r="B1" s="1"/>
      <c r="C1" s="1"/>
      <c r="D1" s="1"/>
      <c r="E1" s="92" t="s">
        <v>0</v>
      </c>
      <c r="F1" s="92"/>
      <c r="G1" s="92"/>
      <c r="H1" s="92"/>
      <c r="I1" s="92"/>
      <c r="J1" s="92"/>
      <c r="K1" s="92"/>
      <c r="L1" s="92"/>
      <c r="M1" s="2"/>
      <c r="N1" s="1"/>
      <c r="O1" s="1"/>
      <c r="P1" s="1"/>
    </row>
    <row r="2" spans="1:16" ht="15.6" x14ac:dyDescent="0.3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2"/>
      <c r="N2" s="1"/>
      <c r="O2" s="1"/>
      <c r="P2" s="1"/>
    </row>
    <row r="3" spans="1:16" ht="15.6" x14ac:dyDescent="0.3">
      <c r="A3" s="92"/>
      <c r="B3" s="92"/>
      <c r="C3" s="92"/>
      <c r="D3" s="92"/>
      <c r="E3" s="3"/>
      <c r="F3" s="3"/>
      <c r="G3" s="1"/>
      <c r="H3" s="1"/>
      <c r="I3" s="1"/>
      <c r="J3" s="1"/>
      <c r="K3" s="1"/>
      <c r="L3" s="1"/>
      <c r="M3" s="4"/>
      <c r="N3" s="1"/>
      <c r="O3" s="1"/>
      <c r="P3" s="1"/>
    </row>
    <row r="4" spans="1:16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3"/>
      <c r="O4" s="3"/>
      <c r="P4" s="3"/>
    </row>
    <row r="5" spans="1:16" ht="15.6" x14ac:dyDescent="0.3">
      <c r="A5" s="5"/>
      <c r="B5" s="5" t="s">
        <v>2</v>
      </c>
      <c r="C5" s="5"/>
      <c r="D5" s="5">
        <v>12</v>
      </c>
      <c r="E5" s="5">
        <v>6</v>
      </c>
      <c r="F5" s="5">
        <f>D5-E5</f>
        <v>6</v>
      </c>
      <c r="G5" s="5">
        <v>12</v>
      </c>
      <c r="H5" s="5">
        <v>12</v>
      </c>
      <c r="I5" s="5">
        <v>12</v>
      </c>
      <c r="J5" s="5">
        <v>12</v>
      </c>
      <c r="K5" s="5">
        <v>12</v>
      </c>
      <c r="L5" s="5">
        <v>12</v>
      </c>
      <c r="M5" s="6"/>
      <c r="N5" s="5">
        <v>12</v>
      </c>
      <c r="O5" s="5">
        <v>12</v>
      </c>
      <c r="P5" s="5">
        <v>12</v>
      </c>
    </row>
    <row r="6" spans="1:16" ht="20.399999999999999" x14ac:dyDescent="0.3">
      <c r="A6" s="86" t="s">
        <v>3</v>
      </c>
      <c r="B6" s="86" t="s">
        <v>4</v>
      </c>
      <c r="C6" s="86" t="s">
        <v>5</v>
      </c>
      <c r="D6" s="94" t="s">
        <v>6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ht="63.6" customHeight="1" x14ac:dyDescent="0.3">
      <c r="A7" s="93"/>
      <c r="B7" s="93"/>
      <c r="C7" s="93"/>
      <c r="D7" s="96" t="s">
        <v>7</v>
      </c>
      <c r="E7" s="97"/>
      <c r="F7" s="98"/>
      <c r="G7" s="7" t="s">
        <v>8</v>
      </c>
      <c r="H7" s="7" t="s">
        <v>9</v>
      </c>
      <c r="I7" s="7" t="s">
        <v>10</v>
      </c>
      <c r="J7" s="7" t="s">
        <v>11</v>
      </c>
      <c r="K7" s="8" t="s">
        <v>12</v>
      </c>
      <c r="L7" s="8" t="s">
        <v>13</v>
      </c>
      <c r="M7" s="9" t="s">
        <v>14</v>
      </c>
      <c r="N7" s="8" t="s">
        <v>15</v>
      </c>
      <c r="O7" s="8" t="s">
        <v>16</v>
      </c>
      <c r="P7" s="8" t="s">
        <v>17</v>
      </c>
    </row>
    <row r="8" spans="1:16" ht="61.2" customHeight="1" x14ac:dyDescent="0.3">
      <c r="A8" s="87"/>
      <c r="B8" s="87"/>
      <c r="C8" s="87"/>
      <c r="D8" s="10" t="s">
        <v>18</v>
      </c>
      <c r="E8" s="10" t="str">
        <f>период1_рег</f>
        <v>с 01.01.2015 г по 30.06.2015 г.</v>
      </c>
      <c r="F8" s="10" t="str">
        <f>период2_рег</f>
        <v>с 01.07.2015 г по 31.12.2015 г.</v>
      </c>
      <c r="G8" s="10" t="s">
        <v>18</v>
      </c>
      <c r="H8" s="10" t="s">
        <v>18</v>
      </c>
      <c r="I8" s="10" t="s">
        <v>18</v>
      </c>
      <c r="J8" s="10" t="s">
        <v>18</v>
      </c>
      <c r="K8" s="10" t="s">
        <v>18</v>
      </c>
      <c r="L8" s="10" t="s">
        <v>18</v>
      </c>
      <c r="M8" s="11"/>
      <c r="N8" s="10" t="s">
        <v>18</v>
      </c>
      <c r="O8" s="10" t="s">
        <v>18</v>
      </c>
      <c r="P8" s="10" t="s">
        <v>18</v>
      </c>
    </row>
    <row r="9" spans="1:16" x14ac:dyDescent="0.3">
      <c r="A9" s="12">
        <v>1</v>
      </c>
      <c r="B9" s="12">
        <v>2</v>
      </c>
      <c r="C9" s="12">
        <v>3</v>
      </c>
      <c r="D9" s="12">
        <v>9</v>
      </c>
      <c r="E9" s="12" t="s">
        <v>19</v>
      </c>
      <c r="F9" s="12" t="s">
        <v>20</v>
      </c>
      <c r="G9" s="12">
        <v>9</v>
      </c>
      <c r="H9" s="12">
        <v>9</v>
      </c>
      <c r="I9" s="12">
        <v>9</v>
      </c>
      <c r="J9" s="12">
        <v>9</v>
      </c>
      <c r="K9" s="12">
        <v>9</v>
      </c>
      <c r="L9" s="12">
        <v>9</v>
      </c>
      <c r="M9" s="13"/>
      <c r="N9" s="12">
        <v>9</v>
      </c>
      <c r="O9" s="12">
        <v>9</v>
      </c>
      <c r="P9" s="12">
        <v>9</v>
      </c>
    </row>
    <row r="10" spans="1:16" ht="48.6" customHeight="1" x14ac:dyDescent="0.3">
      <c r="A10" s="14"/>
      <c r="B10" s="15" t="s">
        <v>21</v>
      </c>
      <c r="C10" s="16" t="s">
        <v>22</v>
      </c>
      <c r="D10" s="17">
        <f t="shared" ref="D10:I10" si="0">D13+D12+D11</f>
        <v>397.49</v>
      </c>
      <c r="E10" s="17">
        <f t="shared" si="0"/>
        <v>0</v>
      </c>
      <c r="F10" s="17">
        <f t="shared" si="0"/>
        <v>0</v>
      </c>
      <c r="G10" s="17">
        <f t="shared" si="0"/>
        <v>241.32</v>
      </c>
      <c r="H10" s="17">
        <f t="shared" si="0"/>
        <v>18.68</v>
      </c>
      <c r="I10" s="17">
        <f t="shared" si="0"/>
        <v>99.12</v>
      </c>
      <c r="J10" s="17">
        <f>J13+J12+J11</f>
        <v>24556</v>
      </c>
      <c r="K10" s="17">
        <f t="shared" ref="K10:L10" si="1">K13+K12+K11</f>
        <v>12000</v>
      </c>
      <c r="L10" s="17">
        <f t="shared" si="1"/>
        <v>18.04</v>
      </c>
      <c r="M10" s="18"/>
      <c r="N10" s="17">
        <f t="shared" ref="N10:P10" si="2">N13+N12+N11</f>
        <v>0</v>
      </c>
      <c r="O10" s="17">
        <f t="shared" si="2"/>
        <v>0</v>
      </c>
      <c r="P10" s="17">
        <f t="shared" si="2"/>
        <v>0</v>
      </c>
    </row>
    <row r="11" spans="1:16" ht="15.6" x14ac:dyDescent="0.3">
      <c r="A11" s="19"/>
      <c r="B11" s="20" t="s">
        <v>23</v>
      </c>
      <c r="C11" s="21"/>
      <c r="D11" s="22">
        <v>79.290000000000006</v>
      </c>
      <c r="E11" s="22"/>
      <c r="F11" s="22"/>
      <c r="G11" s="22"/>
      <c r="H11" s="22"/>
      <c r="I11" s="22">
        <v>20.72</v>
      </c>
      <c r="J11" s="22">
        <v>2730</v>
      </c>
      <c r="K11" s="22"/>
      <c r="L11" s="22"/>
      <c r="M11" s="23"/>
      <c r="N11" s="22"/>
      <c r="O11" s="22"/>
      <c r="P11" s="22"/>
    </row>
    <row r="12" spans="1:16" ht="53.4" customHeight="1" x14ac:dyDescent="0.3">
      <c r="A12" s="24">
        <v>1</v>
      </c>
      <c r="B12" s="25" t="s">
        <v>24</v>
      </c>
      <c r="C12" s="24" t="s">
        <v>22</v>
      </c>
      <c r="D12" s="26">
        <v>10.7</v>
      </c>
      <c r="E12" s="26"/>
      <c r="F12" s="26"/>
      <c r="G12" s="26">
        <v>5.62</v>
      </c>
      <c r="H12" s="26"/>
      <c r="I12" s="26"/>
      <c r="J12" s="26"/>
      <c r="K12" s="26"/>
      <c r="L12" s="26"/>
      <c r="M12" s="27"/>
      <c r="N12" s="26"/>
      <c r="O12" s="26"/>
      <c r="P12" s="26"/>
    </row>
    <row r="13" spans="1:16" ht="25.2" customHeight="1" x14ac:dyDescent="0.3">
      <c r="A13" s="28">
        <v>2</v>
      </c>
      <c r="B13" s="29" t="s">
        <v>25</v>
      </c>
      <c r="C13" s="28" t="s">
        <v>22</v>
      </c>
      <c r="D13" s="30">
        <f t="shared" ref="D13:H13" si="3">D14+D15+D16</f>
        <v>307.5</v>
      </c>
      <c r="E13" s="30"/>
      <c r="F13" s="30"/>
      <c r="G13" s="30">
        <f t="shared" si="3"/>
        <v>235.7</v>
      </c>
      <c r="H13" s="30">
        <f t="shared" si="3"/>
        <v>18.68</v>
      </c>
      <c r="I13" s="30">
        <f>I14+I15+I16</f>
        <v>78.400000000000006</v>
      </c>
      <c r="J13" s="30">
        <f t="shared" ref="J13:P13" si="4">J14+J15+J16</f>
        <v>21826</v>
      </c>
      <c r="K13" s="30">
        <f t="shared" si="4"/>
        <v>12000</v>
      </c>
      <c r="L13" s="30">
        <f t="shared" si="4"/>
        <v>18.04</v>
      </c>
      <c r="M13" s="31"/>
      <c r="N13" s="30">
        <f t="shared" si="4"/>
        <v>0</v>
      </c>
      <c r="O13" s="30">
        <f t="shared" si="4"/>
        <v>0</v>
      </c>
      <c r="P13" s="30">
        <f t="shared" si="4"/>
        <v>0</v>
      </c>
    </row>
    <row r="14" spans="1:16" ht="22.8" customHeight="1" x14ac:dyDescent="0.3">
      <c r="A14" s="32" t="s">
        <v>26</v>
      </c>
      <c r="B14" s="33" t="s">
        <v>27</v>
      </c>
      <c r="C14" s="24" t="s">
        <v>22</v>
      </c>
      <c r="D14" s="26">
        <v>258</v>
      </c>
      <c r="E14" s="26"/>
      <c r="F14" s="26"/>
      <c r="G14" s="26">
        <v>192.43</v>
      </c>
      <c r="H14" s="26">
        <v>12.85</v>
      </c>
      <c r="I14" s="26">
        <v>76.430000000000007</v>
      </c>
      <c r="J14" s="26">
        <v>14290</v>
      </c>
      <c r="K14" s="26">
        <v>9600</v>
      </c>
      <c r="L14" s="26">
        <v>18.04</v>
      </c>
      <c r="M14" s="27"/>
      <c r="N14" s="26"/>
      <c r="O14" s="26"/>
      <c r="P14" s="26"/>
    </row>
    <row r="15" spans="1:16" ht="49.2" customHeight="1" x14ac:dyDescent="0.3">
      <c r="A15" s="32" t="s">
        <v>28</v>
      </c>
      <c r="B15" s="33" t="s">
        <v>29</v>
      </c>
      <c r="C15" s="24" t="s">
        <v>22</v>
      </c>
      <c r="D15" s="26">
        <v>35.700000000000003</v>
      </c>
      <c r="E15" s="26"/>
      <c r="F15" s="26"/>
      <c r="G15" s="26">
        <v>35.200000000000003</v>
      </c>
      <c r="H15" s="26">
        <v>2.1</v>
      </c>
      <c r="I15" s="26">
        <v>1.3</v>
      </c>
      <c r="J15" s="26">
        <v>5454.48</v>
      </c>
      <c r="K15" s="26">
        <v>1100</v>
      </c>
      <c r="L15" s="26"/>
      <c r="M15" s="27"/>
      <c r="N15" s="26"/>
      <c r="O15" s="26"/>
      <c r="P15" s="26"/>
    </row>
    <row r="16" spans="1:16" ht="40.200000000000003" customHeight="1" x14ac:dyDescent="0.3">
      <c r="A16" s="32" t="s">
        <v>30</v>
      </c>
      <c r="B16" s="33" t="s">
        <v>31</v>
      </c>
      <c r="C16" s="24" t="s">
        <v>22</v>
      </c>
      <c r="D16" s="26">
        <v>13.8</v>
      </c>
      <c r="E16" s="26"/>
      <c r="F16" s="26"/>
      <c r="G16" s="26">
        <v>8.07</v>
      </c>
      <c r="H16" s="26">
        <v>3.73</v>
      </c>
      <c r="I16" s="26">
        <v>0.67</v>
      </c>
      <c r="J16" s="26">
        <v>2081.52</v>
      </c>
      <c r="K16" s="26">
        <v>1300</v>
      </c>
      <c r="L16" s="26"/>
      <c r="M16" s="27"/>
      <c r="N16" s="26"/>
      <c r="O16" s="26"/>
      <c r="P16" s="26"/>
    </row>
    <row r="17" spans="1:16" ht="24" customHeight="1" x14ac:dyDescent="0.3">
      <c r="A17" s="34">
        <v>1</v>
      </c>
      <c r="B17" s="35" t="s">
        <v>32</v>
      </c>
      <c r="C17" s="34" t="s">
        <v>33</v>
      </c>
      <c r="D17" s="36">
        <f>D18+D23+D31+D38+D45</f>
        <v>6488.1552099999999</v>
      </c>
      <c r="E17" s="36"/>
      <c r="F17" s="36"/>
      <c r="G17" s="36">
        <f>G18+G23+G31+G38+G45</f>
        <v>8495.52484</v>
      </c>
      <c r="H17" s="36">
        <f>H18+H23+H31+H38+H45</f>
        <v>411.41359</v>
      </c>
      <c r="I17" s="36">
        <f>I18+I23+I31+I38+I45</f>
        <v>2762.4300000000003</v>
      </c>
      <c r="J17" s="36">
        <f>J18+J22+J30+J31+J37+J38+J45</f>
        <v>28724.502409999997</v>
      </c>
      <c r="K17" s="36">
        <f t="shared" ref="K17:M17" si="5">K18+K22+K30+K31+K37+K38+K45</f>
        <v>2172.44</v>
      </c>
      <c r="L17" s="36">
        <f t="shared" si="5"/>
        <v>1033.5300000000002</v>
      </c>
      <c r="M17" s="36">
        <f t="shared" si="5"/>
        <v>50087.996050000002</v>
      </c>
      <c r="N17" s="36">
        <f t="shared" ref="N17" si="6">N18+N23+N31+N38+N45</f>
        <v>2861.8478100000002</v>
      </c>
      <c r="O17" s="36">
        <f>O18+O23+O31+O38+O45</f>
        <v>338.69693999999998</v>
      </c>
      <c r="P17" s="36">
        <f>D17+G17+H17+I17+J17+K17+L17+N17+O17</f>
        <v>53288.540800000002</v>
      </c>
    </row>
    <row r="18" spans="1:16" ht="58.2" customHeight="1" x14ac:dyDescent="0.3">
      <c r="A18" s="37" t="s">
        <v>34</v>
      </c>
      <c r="B18" s="38" t="s">
        <v>35</v>
      </c>
      <c r="C18" s="37" t="s">
        <v>33</v>
      </c>
      <c r="D18" s="39">
        <f t="shared" ref="D18:H18" si="7">D19+D20</f>
        <v>187.91</v>
      </c>
      <c r="E18" s="39"/>
      <c r="F18" s="39"/>
      <c r="G18" s="39">
        <f t="shared" si="7"/>
        <v>116</v>
      </c>
      <c r="H18" s="39">
        <f t="shared" si="7"/>
        <v>1.31</v>
      </c>
      <c r="I18" s="39">
        <f>I19+I20</f>
        <v>111.57000000000001</v>
      </c>
      <c r="J18" s="39">
        <f t="shared" ref="J18" si="8">J19+J20</f>
        <v>129.9</v>
      </c>
      <c r="K18" s="39">
        <f>K19+K20+K21</f>
        <v>513.4</v>
      </c>
      <c r="L18" s="39">
        <f>L19+L20+L21</f>
        <v>390.7</v>
      </c>
      <c r="M18" s="27">
        <f t="shared" ref="M18:O18" si="9">M19+M20+M21</f>
        <v>1450.79</v>
      </c>
      <c r="N18" s="39">
        <f t="shared" si="9"/>
        <v>513.49</v>
      </c>
      <c r="O18" s="39">
        <f t="shared" si="9"/>
        <v>150</v>
      </c>
      <c r="P18" s="36">
        <f t="shared" ref="P18:P81" si="10">D18+G18+H18+I18+J18+K18+L18+N18+O18</f>
        <v>2114.2799999999997</v>
      </c>
    </row>
    <row r="19" spans="1:16" x14ac:dyDescent="0.3">
      <c r="A19" s="37" t="s">
        <v>36</v>
      </c>
      <c r="B19" s="40" t="s">
        <v>37</v>
      </c>
      <c r="C19" s="37" t="s">
        <v>33</v>
      </c>
      <c r="D19" s="39">
        <v>1.68</v>
      </c>
      <c r="E19" s="41"/>
      <c r="F19" s="39"/>
      <c r="G19" s="39">
        <v>17.989999999999998</v>
      </c>
      <c r="H19" s="39">
        <v>1.31</v>
      </c>
      <c r="I19" s="39">
        <v>0.37</v>
      </c>
      <c r="J19" s="39">
        <v>59.9</v>
      </c>
      <c r="K19" s="39"/>
      <c r="L19" s="39"/>
      <c r="M19" s="27">
        <f>D19+G19+H19+I19+J19+K19+L19</f>
        <v>81.25</v>
      </c>
      <c r="N19" s="39"/>
      <c r="O19" s="39"/>
      <c r="P19" s="36">
        <f t="shared" si="10"/>
        <v>81.25</v>
      </c>
    </row>
    <row r="20" spans="1:16" ht="25.2" customHeight="1" x14ac:dyDescent="0.3">
      <c r="A20" s="37" t="s">
        <v>38</v>
      </c>
      <c r="B20" s="42" t="s">
        <v>39</v>
      </c>
      <c r="C20" s="37" t="s">
        <v>33</v>
      </c>
      <c r="D20" s="39">
        <v>186.23</v>
      </c>
      <c r="E20" s="41"/>
      <c r="F20" s="39"/>
      <c r="G20" s="39">
        <v>98.01</v>
      </c>
      <c r="H20" s="39"/>
      <c r="I20" s="39">
        <v>111.2</v>
      </c>
      <c r="J20" s="39">
        <v>70</v>
      </c>
      <c r="K20" s="39">
        <v>513.4</v>
      </c>
      <c r="L20" s="39">
        <v>390.7</v>
      </c>
      <c r="M20" s="27">
        <f t="shared" ref="M20:M83" si="11">D20+G20+H20+I20+J20+K20+L20</f>
        <v>1369.54</v>
      </c>
      <c r="N20" s="39">
        <v>513.49</v>
      </c>
      <c r="O20" s="39">
        <v>150</v>
      </c>
      <c r="P20" s="36">
        <f t="shared" si="10"/>
        <v>2033.03</v>
      </c>
    </row>
    <row r="21" spans="1:16" ht="34.799999999999997" customHeight="1" x14ac:dyDescent="0.3">
      <c r="A21" s="37" t="s">
        <v>40</v>
      </c>
      <c r="B21" s="42" t="s">
        <v>41</v>
      </c>
      <c r="C21" s="37" t="s">
        <v>33</v>
      </c>
      <c r="D21" s="39">
        <v>0</v>
      </c>
      <c r="E21" s="41"/>
      <c r="F21" s="39"/>
      <c r="G21" s="39"/>
      <c r="H21" s="39"/>
      <c r="I21" s="39"/>
      <c r="J21" s="39"/>
      <c r="K21" s="39"/>
      <c r="L21" s="39"/>
      <c r="M21" s="27">
        <f t="shared" si="11"/>
        <v>0</v>
      </c>
      <c r="N21" s="39"/>
      <c r="O21" s="39"/>
      <c r="P21" s="36">
        <f t="shared" si="10"/>
        <v>0</v>
      </c>
    </row>
    <row r="22" spans="1:16" ht="24" customHeight="1" x14ac:dyDescent="0.3">
      <c r="A22" s="37" t="s">
        <v>42</v>
      </c>
      <c r="B22" s="38" t="s">
        <v>43</v>
      </c>
      <c r="C22" s="37" t="s">
        <v>33</v>
      </c>
      <c r="D22" s="39">
        <v>2542.19</v>
      </c>
      <c r="E22" s="39"/>
      <c r="F22" s="39"/>
      <c r="G22" s="39">
        <v>4442.21</v>
      </c>
      <c r="H22" s="39">
        <v>286</v>
      </c>
      <c r="I22" s="39">
        <v>662.7</v>
      </c>
      <c r="J22" s="39">
        <f>J23+J27+J29+J28</f>
        <v>25260.869999999995</v>
      </c>
      <c r="K22" s="39">
        <f t="shared" ref="K22:M22" si="12">K23+K27+K29+K28</f>
        <v>0</v>
      </c>
      <c r="L22" s="39">
        <f t="shared" si="12"/>
        <v>0</v>
      </c>
      <c r="M22" s="27">
        <f t="shared" si="12"/>
        <v>33193.97</v>
      </c>
      <c r="N22" s="39"/>
      <c r="O22" s="39"/>
      <c r="P22" s="36">
        <f t="shared" si="10"/>
        <v>33193.969999999994</v>
      </c>
    </row>
    <row r="23" spans="1:16" x14ac:dyDescent="0.3">
      <c r="A23" s="37" t="s">
        <v>44</v>
      </c>
      <c r="B23" s="40" t="s">
        <v>45</v>
      </c>
      <c r="C23" s="37" t="s">
        <v>33</v>
      </c>
      <c r="D23" s="39">
        <v>2542.19</v>
      </c>
      <c r="E23" s="41"/>
      <c r="F23" s="39"/>
      <c r="G23" s="39">
        <v>4442.21</v>
      </c>
      <c r="H23" s="39">
        <v>286</v>
      </c>
      <c r="I23" s="39">
        <v>662.7</v>
      </c>
      <c r="J23" s="39">
        <v>2972.35</v>
      </c>
      <c r="K23" s="39"/>
      <c r="L23" s="39"/>
      <c r="M23" s="27">
        <f t="shared" si="11"/>
        <v>10905.449999999999</v>
      </c>
      <c r="N23" s="39"/>
      <c r="O23" s="39"/>
      <c r="P23" s="36">
        <f t="shared" si="10"/>
        <v>10905.449999999999</v>
      </c>
    </row>
    <row r="24" spans="1:16" ht="31.8" customHeight="1" x14ac:dyDescent="0.3">
      <c r="A24" s="43" t="s">
        <v>46</v>
      </c>
      <c r="B24" s="44" t="s">
        <v>47</v>
      </c>
      <c r="C24" s="43" t="s">
        <v>48</v>
      </c>
      <c r="D24" s="39">
        <v>383.6</v>
      </c>
      <c r="E24" s="45"/>
      <c r="F24" s="39"/>
      <c r="G24" s="39">
        <v>1071.28</v>
      </c>
      <c r="H24" s="39">
        <v>71.5</v>
      </c>
      <c r="I24" s="39">
        <v>98.91</v>
      </c>
      <c r="J24" s="39">
        <v>489.49</v>
      </c>
      <c r="K24" s="39"/>
      <c r="L24" s="39"/>
      <c r="M24" s="27">
        <f t="shared" si="11"/>
        <v>2114.7800000000002</v>
      </c>
      <c r="N24" s="39"/>
      <c r="O24" s="39"/>
      <c r="P24" s="36">
        <f t="shared" si="10"/>
        <v>2114.7800000000002</v>
      </c>
    </row>
    <row r="25" spans="1:16" ht="31.8" customHeight="1" x14ac:dyDescent="0.3">
      <c r="A25" s="43" t="s">
        <v>49</v>
      </c>
      <c r="B25" s="44" t="s">
        <v>50</v>
      </c>
      <c r="C25" s="43" t="s">
        <v>51</v>
      </c>
      <c r="D25" s="45">
        <v>6.63</v>
      </c>
      <c r="E25" s="45"/>
      <c r="F25" s="45"/>
      <c r="G25" s="45">
        <v>4.1500000000000004</v>
      </c>
      <c r="H25" s="45">
        <v>4</v>
      </c>
      <c r="I25" s="45">
        <v>6.7</v>
      </c>
      <c r="J25" s="45">
        <v>6.07</v>
      </c>
      <c r="K25" s="45"/>
      <c r="L25" s="45"/>
      <c r="M25" s="27">
        <f>(D25+G25+H25+I25+J25+K25+L25)/5</f>
        <v>5.51</v>
      </c>
      <c r="N25" s="45"/>
      <c r="O25" s="45"/>
      <c r="P25" s="36">
        <f t="shared" si="10"/>
        <v>27.55</v>
      </c>
    </row>
    <row r="26" spans="1:16" ht="31.8" customHeight="1" x14ac:dyDescent="0.3">
      <c r="A26" s="43" t="s">
        <v>52</v>
      </c>
      <c r="B26" s="44" t="s">
        <v>53</v>
      </c>
      <c r="C26" s="43" t="s">
        <v>54</v>
      </c>
      <c r="D26" s="45">
        <v>0.96505572467231882</v>
      </c>
      <c r="E26" s="45"/>
      <c r="F26" s="45"/>
      <c r="G26" s="45">
        <v>4.55</v>
      </c>
      <c r="H26" s="45">
        <v>3.83</v>
      </c>
      <c r="I26" s="45">
        <v>1</v>
      </c>
      <c r="J26" s="45">
        <v>19.93</v>
      </c>
      <c r="K26" s="45"/>
      <c r="L26" s="45"/>
      <c r="M26" s="27">
        <f>(D26+G26+H26+I26+J26+K26+L26)/5</f>
        <v>6.0550111449344639</v>
      </c>
      <c r="N26" s="45"/>
      <c r="O26" s="45"/>
      <c r="P26" s="36">
        <f t="shared" si="10"/>
        <v>30.27505572467232</v>
      </c>
    </row>
    <row r="27" spans="1:16" x14ac:dyDescent="0.3">
      <c r="A27" s="37" t="s">
        <v>55</v>
      </c>
      <c r="B27" s="40" t="s">
        <v>56</v>
      </c>
      <c r="C27" s="37" t="s">
        <v>33</v>
      </c>
      <c r="D27" s="41"/>
      <c r="E27" s="41"/>
      <c r="F27" s="39"/>
      <c r="G27" s="41"/>
      <c r="H27" s="41"/>
      <c r="I27" s="41"/>
      <c r="J27" s="41">
        <v>21934.28</v>
      </c>
      <c r="K27" s="41"/>
      <c r="L27" s="41"/>
      <c r="M27" s="27">
        <f t="shared" si="11"/>
        <v>21934.28</v>
      </c>
      <c r="N27" s="41"/>
      <c r="O27" s="41"/>
      <c r="P27" s="36">
        <f t="shared" si="10"/>
        <v>21934.28</v>
      </c>
    </row>
    <row r="28" spans="1:16" x14ac:dyDescent="0.3">
      <c r="A28" s="37"/>
      <c r="B28" s="40" t="s">
        <v>57</v>
      </c>
      <c r="C28" s="37" t="s">
        <v>33</v>
      </c>
      <c r="D28" s="41"/>
      <c r="E28" s="41"/>
      <c r="F28" s="39"/>
      <c r="G28" s="41"/>
      <c r="H28" s="41"/>
      <c r="I28" s="41"/>
      <c r="J28" s="41">
        <v>179.44</v>
      </c>
      <c r="K28" s="41"/>
      <c r="L28" s="41"/>
      <c r="M28" s="27">
        <f t="shared" si="11"/>
        <v>179.44</v>
      </c>
      <c r="N28" s="41"/>
      <c r="O28" s="41"/>
      <c r="P28" s="36"/>
    </row>
    <row r="29" spans="1:16" x14ac:dyDescent="0.3">
      <c r="A29" s="37" t="s">
        <v>58</v>
      </c>
      <c r="B29" s="40" t="s">
        <v>59</v>
      </c>
      <c r="C29" s="37" t="s">
        <v>33</v>
      </c>
      <c r="D29" s="41"/>
      <c r="E29" s="41"/>
      <c r="F29" s="39"/>
      <c r="G29" s="41"/>
      <c r="H29" s="41"/>
      <c r="I29" s="41"/>
      <c r="J29" s="41">
        <v>174.8</v>
      </c>
      <c r="K29" s="41"/>
      <c r="L29" s="41"/>
      <c r="M29" s="27">
        <f t="shared" si="11"/>
        <v>174.8</v>
      </c>
      <c r="N29" s="41"/>
      <c r="O29" s="41"/>
      <c r="P29" s="36">
        <f t="shared" si="10"/>
        <v>174.8</v>
      </c>
    </row>
    <row r="30" spans="1:16" ht="20.399999999999999" customHeight="1" x14ac:dyDescent="0.3">
      <c r="A30" s="37" t="s">
        <v>60</v>
      </c>
      <c r="B30" s="38" t="s">
        <v>61</v>
      </c>
      <c r="C30" s="37" t="s">
        <v>33</v>
      </c>
      <c r="D30" s="39">
        <v>0</v>
      </c>
      <c r="E30" s="41"/>
      <c r="F30" s="39"/>
      <c r="G30" s="39"/>
      <c r="H30" s="39"/>
      <c r="I30" s="39"/>
      <c r="J30" s="39">
        <v>55</v>
      </c>
      <c r="K30" s="39"/>
      <c r="L30" s="39"/>
      <c r="M30" s="27">
        <f t="shared" si="11"/>
        <v>55</v>
      </c>
      <c r="N30" s="39"/>
      <c r="O30" s="39"/>
      <c r="P30" s="36">
        <f t="shared" si="10"/>
        <v>55</v>
      </c>
    </row>
    <row r="31" spans="1:16" ht="67.2" customHeight="1" x14ac:dyDescent="0.3">
      <c r="A31" s="37" t="s">
        <v>62</v>
      </c>
      <c r="B31" s="38" t="s">
        <v>63</v>
      </c>
      <c r="C31" s="37" t="s">
        <v>33</v>
      </c>
      <c r="D31" s="39">
        <f t="shared" ref="D31:O31" si="13">D32+D35</f>
        <v>2785.9052100000004</v>
      </c>
      <c r="E31" s="39"/>
      <c r="F31" s="39"/>
      <c r="G31" s="39">
        <f t="shared" si="13"/>
        <v>2840.9048400000001</v>
      </c>
      <c r="H31" s="39">
        <f t="shared" si="13"/>
        <v>67.143590000000003</v>
      </c>
      <c r="I31" s="39">
        <f>I32+I35</f>
        <v>730.96</v>
      </c>
      <c r="J31" s="39">
        <f t="shared" si="13"/>
        <v>1772.6924100000001</v>
      </c>
      <c r="K31" s="39">
        <f t="shared" si="13"/>
        <v>1468.3500000000001</v>
      </c>
      <c r="L31" s="39">
        <f t="shared" si="13"/>
        <v>597.45000000000005</v>
      </c>
      <c r="M31" s="27">
        <f t="shared" si="13"/>
        <v>10263.406050000001</v>
      </c>
      <c r="N31" s="39">
        <f t="shared" si="13"/>
        <v>2348.35781</v>
      </c>
      <c r="O31" s="39">
        <f t="shared" si="13"/>
        <v>183.69693999999998</v>
      </c>
      <c r="P31" s="36">
        <f t="shared" si="10"/>
        <v>12795.460800000001</v>
      </c>
    </row>
    <row r="32" spans="1:16" ht="43.2" customHeight="1" x14ac:dyDescent="0.3">
      <c r="A32" s="37" t="s">
        <v>64</v>
      </c>
      <c r="B32" s="42" t="s">
        <v>65</v>
      </c>
      <c r="C32" s="37" t="s">
        <v>33</v>
      </c>
      <c r="D32" s="39">
        <v>2138.0700000000002</v>
      </c>
      <c r="E32" s="41"/>
      <c r="F32" s="39"/>
      <c r="G32" s="39">
        <v>2180.2800000000002</v>
      </c>
      <c r="H32" s="39">
        <v>51.53</v>
      </c>
      <c r="I32" s="39">
        <v>560.98</v>
      </c>
      <c r="J32" s="39">
        <v>1360.47</v>
      </c>
      <c r="K32" s="39">
        <v>1126.9000000000001</v>
      </c>
      <c r="L32" s="39">
        <v>458.52</v>
      </c>
      <c r="M32" s="27">
        <f t="shared" si="11"/>
        <v>7876.7500000000018</v>
      </c>
      <c r="N32" s="39">
        <v>1802.27</v>
      </c>
      <c r="O32" s="39">
        <v>140.97999999999999</v>
      </c>
      <c r="P32" s="36">
        <f t="shared" si="10"/>
        <v>9820.0000000000018</v>
      </c>
    </row>
    <row r="33" spans="1:16" ht="22.8" customHeight="1" x14ac:dyDescent="0.3">
      <c r="A33" s="43" t="s">
        <v>66</v>
      </c>
      <c r="B33" s="44" t="s">
        <v>67</v>
      </c>
      <c r="C33" s="43" t="s">
        <v>68</v>
      </c>
      <c r="D33" s="45">
        <v>12</v>
      </c>
      <c r="E33" s="45"/>
      <c r="F33" s="45"/>
      <c r="G33" s="45">
        <v>14</v>
      </c>
      <c r="H33" s="45">
        <v>0.28999999999999998</v>
      </c>
      <c r="I33" s="45">
        <v>3</v>
      </c>
      <c r="J33" s="45">
        <v>12.67</v>
      </c>
      <c r="K33" s="45">
        <v>6.5</v>
      </c>
      <c r="L33" s="45">
        <v>2</v>
      </c>
      <c r="M33" s="46">
        <f t="shared" si="11"/>
        <v>50.46</v>
      </c>
      <c r="N33" s="45">
        <v>11</v>
      </c>
      <c r="O33" s="45">
        <v>1</v>
      </c>
      <c r="P33" s="36">
        <f t="shared" si="10"/>
        <v>62.46</v>
      </c>
    </row>
    <row r="34" spans="1:16" ht="21.6" customHeight="1" x14ac:dyDescent="0.3">
      <c r="A34" s="43" t="s">
        <v>69</v>
      </c>
      <c r="B34" s="44" t="s">
        <v>70</v>
      </c>
      <c r="C34" s="43" t="s">
        <v>71</v>
      </c>
      <c r="D34" s="45">
        <v>14847.71</v>
      </c>
      <c r="E34" s="45"/>
      <c r="F34" s="45"/>
      <c r="G34" s="45">
        <v>15278.03</v>
      </c>
      <c r="H34" s="45">
        <v>14807.47</v>
      </c>
      <c r="I34" s="45">
        <v>15582.78</v>
      </c>
      <c r="J34" s="45">
        <f>J32/J33/7*1000</f>
        <v>15339.609877100012</v>
      </c>
      <c r="K34" s="45">
        <f>K32/K33/12*1000</f>
        <v>14447.4358974359</v>
      </c>
      <c r="L34" s="45">
        <f>L32/L33/12*1000</f>
        <v>19105</v>
      </c>
      <c r="M34" s="46">
        <f>(D34+G34+H34+I34+J34+K34+L34)/7</f>
        <v>15629.719396362274</v>
      </c>
      <c r="N34" s="45">
        <f>N31/N33/12*1000</f>
        <v>17790.589469696974</v>
      </c>
      <c r="O34" s="45">
        <f>O31/O33/12*1000</f>
        <v>15308.078333333333</v>
      </c>
      <c r="P34" s="36">
        <f t="shared" si="10"/>
        <v>142506.70357756622</v>
      </c>
    </row>
    <row r="35" spans="1:16" x14ac:dyDescent="0.3">
      <c r="A35" s="84" t="s">
        <v>72</v>
      </c>
      <c r="B35" s="86" t="s">
        <v>73</v>
      </c>
      <c r="C35" s="37" t="s">
        <v>33</v>
      </c>
      <c r="D35" s="39">
        <f>D32*30.3%</f>
        <v>647.83521000000007</v>
      </c>
      <c r="E35" s="39"/>
      <c r="F35" s="39"/>
      <c r="G35" s="39">
        <f t="shared" ref="G35:H35" si="14">G32*30.3%</f>
        <v>660.62484000000006</v>
      </c>
      <c r="H35" s="39">
        <f t="shared" si="14"/>
        <v>15.61359</v>
      </c>
      <c r="I35" s="39">
        <v>169.98</v>
      </c>
      <c r="J35" s="39">
        <f>J32*30.3%</f>
        <v>412.22241000000002</v>
      </c>
      <c r="K35" s="39">
        <v>341.45</v>
      </c>
      <c r="L35" s="39">
        <v>138.93</v>
      </c>
      <c r="M35" s="27">
        <f t="shared" si="11"/>
        <v>2386.6560500000001</v>
      </c>
      <c r="N35" s="39">
        <f>N32*30.3%</f>
        <v>546.08780999999999</v>
      </c>
      <c r="O35" s="39">
        <f>O32*30.3%</f>
        <v>42.716939999999994</v>
      </c>
      <c r="P35" s="36">
        <f t="shared" si="10"/>
        <v>2975.4607999999998</v>
      </c>
    </row>
    <row r="36" spans="1:16" x14ac:dyDescent="0.3">
      <c r="A36" s="85"/>
      <c r="B36" s="87"/>
      <c r="C36" s="47" t="s">
        <v>74</v>
      </c>
      <c r="D36" s="48">
        <v>30.3</v>
      </c>
      <c r="E36" s="48"/>
      <c r="F36" s="48"/>
      <c r="G36" s="48">
        <v>30.3</v>
      </c>
      <c r="H36" s="48">
        <v>30.3</v>
      </c>
      <c r="I36" s="48">
        <v>30.3</v>
      </c>
      <c r="J36" s="48">
        <v>30.3</v>
      </c>
      <c r="K36" s="48">
        <v>30.3</v>
      </c>
      <c r="L36" s="48">
        <v>30.3</v>
      </c>
      <c r="M36" s="49"/>
      <c r="N36" s="48">
        <v>30.3</v>
      </c>
      <c r="O36" s="48">
        <v>30.3</v>
      </c>
      <c r="P36" s="36">
        <f t="shared" si="10"/>
        <v>272.70000000000005</v>
      </c>
    </row>
    <row r="37" spans="1:16" ht="28.2" customHeight="1" x14ac:dyDescent="0.3">
      <c r="A37" s="37" t="s">
        <v>75</v>
      </c>
      <c r="B37" s="38" t="s">
        <v>76</v>
      </c>
      <c r="C37" s="37" t="s">
        <v>33</v>
      </c>
      <c r="D37" s="39">
        <v>0</v>
      </c>
      <c r="E37" s="41"/>
      <c r="F37" s="39"/>
      <c r="G37" s="39"/>
      <c r="H37" s="39"/>
      <c r="I37" s="39"/>
      <c r="J37" s="39">
        <v>266.24</v>
      </c>
      <c r="K37" s="39"/>
      <c r="L37" s="39"/>
      <c r="M37" s="27">
        <f t="shared" si="11"/>
        <v>266.24</v>
      </c>
      <c r="N37" s="39"/>
      <c r="O37" s="39"/>
      <c r="P37" s="36">
        <f t="shared" si="10"/>
        <v>266.24</v>
      </c>
    </row>
    <row r="38" spans="1:16" ht="32.4" customHeight="1" x14ac:dyDescent="0.3">
      <c r="A38" s="37" t="s">
        <v>77</v>
      </c>
      <c r="B38" s="38" t="s">
        <v>78</v>
      </c>
      <c r="C38" s="37" t="s">
        <v>33</v>
      </c>
      <c r="D38" s="39">
        <v>894.61</v>
      </c>
      <c r="E38" s="41"/>
      <c r="F38" s="39"/>
      <c r="G38" s="39">
        <v>732.05</v>
      </c>
      <c r="H38" s="39">
        <v>37.46</v>
      </c>
      <c r="I38" s="39">
        <v>926.63</v>
      </c>
      <c r="J38" s="39">
        <f>J39</f>
        <v>1239.8</v>
      </c>
      <c r="K38" s="39">
        <v>95.69</v>
      </c>
      <c r="L38" s="39">
        <f>12+11.38</f>
        <v>23.380000000000003</v>
      </c>
      <c r="M38" s="27">
        <f t="shared" si="11"/>
        <v>3949.6200000000003</v>
      </c>
      <c r="N38" s="39"/>
      <c r="O38" s="39">
        <v>5</v>
      </c>
      <c r="P38" s="36">
        <f t="shared" si="10"/>
        <v>3954.6200000000003</v>
      </c>
    </row>
    <row r="39" spans="1:16" ht="66" customHeight="1" x14ac:dyDescent="0.3">
      <c r="A39" s="50" t="s">
        <v>79</v>
      </c>
      <c r="B39" s="51" t="s">
        <v>80</v>
      </c>
      <c r="C39" s="47" t="s">
        <v>33</v>
      </c>
      <c r="D39" s="48">
        <f t="shared" ref="D39:L39" si="15">D40+D43</f>
        <v>821.54</v>
      </c>
      <c r="E39" s="48"/>
      <c r="F39" s="48"/>
      <c r="G39" s="48">
        <f t="shared" si="15"/>
        <v>732.05146000000002</v>
      </c>
      <c r="H39" s="48">
        <f t="shared" si="15"/>
        <v>37.46</v>
      </c>
      <c r="I39" s="48">
        <f>I40+I43</f>
        <v>767.1</v>
      </c>
      <c r="J39" s="48">
        <v>1239.8</v>
      </c>
      <c r="K39" s="48">
        <f t="shared" si="15"/>
        <v>0</v>
      </c>
      <c r="L39" s="48">
        <f t="shared" si="15"/>
        <v>0</v>
      </c>
      <c r="M39" s="49">
        <f t="shared" si="11"/>
        <v>3597.9514600000002</v>
      </c>
      <c r="N39" s="48">
        <f t="shared" ref="N39:O39" si="16">N40+N43</f>
        <v>409.08987999999999</v>
      </c>
      <c r="O39" s="48">
        <f t="shared" si="16"/>
        <v>0</v>
      </c>
      <c r="P39" s="36">
        <f t="shared" si="10"/>
        <v>4007.0413400000002</v>
      </c>
    </row>
    <row r="40" spans="1:16" ht="47.4" customHeight="1" x14ac:dyDescent="0.3">
      <c r="A40" s="47" t="s">
        <v>81</v>
      </c>
      <c r="B40" s="51" t="s">
        <v>82</v>
      </c>
      <c r="C40" s="47" t="s">
        <v>33</v>
      </c>
      <c r="D40" s="48">
        <v>630.5</v>
      </c>
      <c r="E40" s="52"/>
      <c r="F40" s="48"/>
      <c r="G40" s="48">
        <v>561.82000000000005</v>
      </c>
      <c r="H40" s="48">
        <v>28.75</v>
      </c>
      <c r="I40" s="48">
        <v>588.72</v>
      </c>
      <c r="J40" s="48">
        <v>951.5</v>
      </c>
      <c r="K40" s="48"/>
      <c r="L40" s="48"/>
      <c r="M40" s="49">
        <f t="shared" si="11"/>
        <v>2761.29</v>
      </c>
      <c r="N40" s="48">
        <v>313.95999999999998</v>
      </c>
      <c r="O40" s="48"/>
      <c r="P40" s="36">
        <f t="shared" si="10"/>
        <v>3075.25</v>
      </c>
    </row>
    <row r="41" spans="1:16" ht="25.8" customHeight="1" x14ac:dyDescent="0.3">
      <c r="A41" s="53" t="s">
        <v>83</v>
      </c>
      <c r="B41" s="54" t="s">
        <v>67</v>
      </c>
      <c r="C41" s="53" t="s">
        <v>84</v>
      </c>
      <c r="D41" s="55">
        <v>2.9999999999999996</v>
      </c>
      <c r="E41" s="55"/>
      <c r="F41" s="55"/>
      <c r="G41" s="55">
        <v>3</v>
      </c>
      <c r="H41" s="55">
        <v>0.14000000000000001</v>
      </c>
      <c r="I41" s="55">
        <v>3</v>
      </c>
      <c r="J41" s="55">
        <v>3.8</v>
      </c>
      <c r="K41" s="55"/>
      <c r="L41" s="55"/>
      <c r="M41" s="56">
        <f t="shared" si="11"/>
        <v>12.940000000000001</v>
      </c>
      <c r="N41" s="55">
        <v>1</v>
      </c>
      <c r="O41" s="55"/>
      <c r="P41" s="36">
        <f t="shared" si="10"/>
        <v>13.940000000000001</v>
      </c>
    </row>
    <row r="42" spans="1:16" ht="24" customHeight="1" x14ac:dyDescent="0.3">
      <c r="A42" s="53" t="s">
        <v>85</v>
      </c>
      <c r="B42" s="54" t="s">
        <v>70</v>
      </c>
      <c r="C42" s="53" t="s">
        <v>86</v>
      </c>
      <c r="D42" s="55">
        <v>17513.89</v>
      </c>
      <c r="E42" s="55"/>
      <c r="F42" s="55"/>
      <c r="G42" s="55">
        <v>15606.11</v>
      </c>
      <c r="H42" s="55">
        <v>17113.099999999999</v>
      </c>
      <c r="I42" s="55">
        <v>16353.33</v>
      </c>
      <c r="J42" s="55">
        <f>J40/J41/12*1000</f>
        <v>20866.228070175443</v>
      </c>
      <c r="K42" s="55"/>
      <c r="L42" s="55"/>
      <c r="M42" s="56">
        <f>(D42+G42+H42+I42+J42+K42+L42)/5</f>
        <v>17490.531614035088</v>
      </c>
      <c r="N42" s="55">
        <f>N40/N41/12*1000</f>
        <v>26163.333333333332</v>
      </c>
      <c r="O42" s="55"/>
      <c r="P42" s="36">
        <f t="shared" si="10"/>
        <v>113615.99140350877</v>
      </c>
    </row>
    <row r="43" spans="1:16" x14ac:dyDescent="0.3">
      <c r="A43" s="88" t="s">
        <v>87</v>
      </c>
      <c r="B43" s="90" t="s">
        <v>88</v>
      </c>
      <c r="C43" s="47" t="s">
        <v>33</v>
      </c>
      <c r="D43" s="48">
        <v>191.04</v>
      </c>
      <c r="E43" s="48"/>
      <c r="F43" s="48"/>
      <c r="G43" s="48">
        <f t="shared" ref="G43" si="17">G40*30.3%</f>
        <v>170.23146</v>
      </c>
      <c r="H43" s="48">
        <v>8.7100000000000009</v>
      </c>
      <c r="I43" s="48">
        <v>178.38</v>
      </c>
      <c r="J43" s="48">
        <f>J40*30.3%</f>
        <v>288.30450000000002</v>
      </c>
      <c r="K43" s="48"/>
      <c r="L43" s="48"/>
      <c r="M43" s="49">
        <f t="shared" si="11"/>
        <v>836.66596000000004</v>
      </c>
      <c r="N43" s="48">
        <f>N40*30.3%</f>
        <v>95.129879999999986</v>
      </c>
      <c r="O43" s="48"/>
      <c r="P43" s="36">
        <f t="shared" si="10"/>
        <v>931.79584</v>
      </c>
    </row>
    <row r="44" spans="1:16" x14ac:dyDescent="0.3">
      <c r="A44" s="89"/>
      <c r="B44" s="91"/>
      <c r="C44" s="47" t="s">
        <v>74</v>
      </c>
      <c r="D44" s="48">
        <v>30.3</v>
      </c>
      <c r="E44" s="48"/>
      <c r="F44" s="48"/>
      <c r="G44" s="48">
        <v>30.3</v>
      </c>
      <c r="H44" s="48">
        <v>30.3</v>
      </c>
      <c r="I44" s="48">
        <v>30.3</v>
      </c>
      <c r="J44" s="48">
        <v>30.3</v>
      </c>
      <c r="K44" s="48"/>
      <c r="L44" s="48"/>
      <c r="M44" s="49"/>
      <c r="N44" s="48">
        <v>30.3</v>
      </c>
      <c r="O44" s="48"/>
      <c r="P44" s="36">
        <f t="shared" si="10"/>
        <v>181.8</v>
      </c>
    </row>
    <row r="45" spans="1:16" ht="30.6" customHeight="1" x14ac:dyDescent="0.3">
      <c r="A45" s="37" t="s">
        <v>89</v>
      </c>
      <c r="B45" s="38" t="s">
        <v>90</v>
      </c>
      <c r="C45" s="37" t="s">
        <v>33</v>
      </c>
      <c r="D45" s="39">
        <f>D46+D47+D48+D49+D50</f>
        <v>77.540000000000006</v>
      </c>
      <c r="E45" s="39"/>
      <c r="F45" s="39"/>
      <c r="G45" s="39">
        <f>G46+G47+G48+G49+G50</f>
        <v>364.36</v>
      </c>
      <c r="H45" s="39">
        <v>19.5</v>
      </c>
      <c r="I45" s="39">
        <f t="shared" ref="I45:O45" si="18">I46+I47+I48+I49+I50</f>
        <v>330.57</v>
      </c>
      <c r="J45" s="39">
        <f t="shared" si="18"/>
        <v>0</v>
      </c>
      <c r="K45" s="39">
        <v>95</v>
      </c>
      <c r="L45" s="39">
        <f t="shared" si="18"/>
        <v>22</v>
      </c>
      <c r="M45" s="27">
        <f t="shared" si="11"/>
        <v>908.97</v>
      </c>
      <c r="N45" s="39">
        <f t="shared" si="18"/>
        <v>0</v>
      </c>
      <c r="O45" s="39">
        <f t="shared" si="18"/>
        <v>0</v>
      </c>
      <c r="P45" s="36">
        <f t="shared" si="10"/>
        <v>908.97</v>
      </c>
    </row>
    <row r="46" spans="1:16" ht="24.6" customHeight="1" x14ac:dyDescent="0.3">
      <c r="A46" s="12" t="s">
        <v>91</v>
      </c>
      <c r="B46" s="42" t="s">
        <v>92</v>
      </c>
      <c r="C46" s="37" t="s">
        <v>33</v>
      </c>
      <c r="D46" s="39">
        <v>0</v>
      </c>
      <c r="E46" s="41"/>
      <c r="F46" s="39"/>
      <c r="G46" s="39"/>
      <c r="H46" s="39"/>
      <c r="I46" s="39">
        <v>273</v>
      </c>
      <c r="J46" s="39"/>
      <c r="K46" s="39"/>
      <c r="L46" s="39"/>
      <c r="M46" s="27">
        <f t="shared" si="11"/>
        <v>273</v>
      </c>
      <c r="N46" s="39"/>
      <c r="O46" s="39"/>
      <c r="P46" s="36">
        <f t="shared" si="10"/>
        <v>273</v>
      </c>
    </row>
    <row r="47" spans="1:16" ht="24.6" customHeight="1" x14ac:dyDescent="0.3">
      <c r="A47" s="12" t="s">
        <v>93</v>
      </c>
      <c r="B47" s="42" t="s">
        <v>94</v>
      </c>
      <c r="C47" s="37" t="s">
        <v>33</v>
      </c>
      <c r="D47" s="39">
        <v>0</v>
      </c>
      <c r="E47" s="41"/>
      <c r="F47" s="39"/>
      <c r="G47" s="39"/>
      <c r="H47" s="39"/>
      <c r="I47" s="39"/>
      <c r="J47" s="39"/>
      <c r="K47" s="39"/>
      <c r="L47" s="39">
        <v>9.89</v>
      </c>
      <c r="M47" s="27">
        <f t="shared" si="11"/>
        <v>9.89</v>
      </c>
      <c r="N47" s="39"/>
      <c r="O47" s="39"/>
      <c r="P47" s="36">
        <f>D47+G47+H47+I47+J47+K47+L47+N47+O47</f>
        <v>9.89</v>
      </c>
    </row>
    <row r="48" spans="1:16" ht="40.200000000000003" customHeight="1" x14ac:dyDescent="0.3">
      <c r="A48" s="12" t="s">
        <v>95</v>
      </c>
      <c r="B48" s="42" t="s">
        <v>96</v>
      </c>
      <c r="C48" s="37" t="s">
        <v>33</v>
      </c>
      <c r="D48" s="39">
        <v>77.540000000000006</v>
      </c>
      <c r="E48" s="41"/>
      <c r="F48" s="39"/>
      <c r="G48" s="39">
        <v>83.92</v>
      </c>
      <c r="H48" s="39">
        <v>6.04</v>
      </c>
      <c r="I48" s="39">
        <v>24.45</v>
      </c>
      <c r="J48" s="39"/>
      <c r="K48" s="39"/>
      <c r="L48" s="39"/>
      <c r="M48" s="27">
        <f t="shared" si="11"/>
        <v>191.95</v>
      </c>
      <c r="N48" s="39"/>
      <c r="O48" s="39"/>
      <c r="P48" s="36">
        <f t="shared" si="10"/>
        <v>191.95</v>
      </c>
    </row>
    <row r="49" spans="1:16" ht="42" customHeight="1" x14ac:dyDescent="0.3">
      <c r="A49" s="12" t="s">
        <v>97</v>
      </c>
      <c r="B49" s="42" t="s">
        <v>98</v>
      </c>
      <c r="C49" s="37" t="s">
        <v>33</v>
      </c>
      <c r="D49" s="39">
        <v>0</v>
      </c>
      <c r="E49" s="41"/>
      <c r="F49" s="39"/>
      <c r="G49" s="39"/>
      <c r="H49" s="39"/>
      <c r="I49" s="39">
        <v>33.119999999999997</v>
      </c>
      <c r="J49" s="39"/>
      <c r="K49" s="39"/>
      <c r="L49" s="39"/>
      <c r="M49" s="27">
        <f t="shared" si="11"/>
        <v>33.119999999999997</v>
      </c>
      <c r="N49" s="39"/>
      <c r="O49" s="39"/>
      <c r="P49" s="36">
        <f t="shared" si="10"/>
        <v>33.119999999999997</v>
      </c>
    </row>
    <row r="50" spans="1:16" x14ac:dyDescent="0.3">
      <c r="A50" s="12" t="s">
        <v>99</v>
      </c>
      <c r="B50" s="42" t="s">
        <v>100</v>
      </c>
      <c r="C50" s="37" t="s">
        <v>33</v>
      </c>
      <c r="D50" s="39">
        <v>0</v>
      </c>
      <c r="E50" s="39"/>
      <c r="F50" s="39"/>
      <c r="G50" s="39">
        <v>280.44</v>
      </c>
      <c r="H50" s="39">
        <v>13.46</v>
      </c>
      <c r="I50" s="39"/>
      <c r="J50" s="39"/>
      <c r="K50" s="39">
        <v>15</v>
      </c>
      <c r="L50" s="39">
        <v>12.11</v>
      </c>
      <c r="M50" s="27">
        <f t="shared" si="11"/>
        <v>321.01</v>
      </c>
      <c r="N50" s="39"/>
      <c r="O50" s="39"/>
      <c r="P50" s="36">
        <f t="shared" si="10"/>
        <v>321.01</v>
      </c>
    </row>
    <row r="51" spans="1:16" x14ac:dyDescent="0.3">
      <c r="A51" s="34">
        <v>2</v>
      </c>
      <c r="B51" s="57" t="s">
        <v>101</v>
      </c>
      <c r="C51" s="34" t="s">
        <v>33</v>
      </c>
      <c r="D51" s="36">
        <f t="shared" ref="D51:H51" si="19">D52</f>
        <v>623.99</v>
      </c>
      <c r="E51" s="36"/>
      <c r="F51" s="36"/>
      <c r="G51" s="36">
        <f t="shared" si="19"/>
        <v>251.26</v>
      </c>
      <c r="H51" s="36">
        <f t="shared" si="19"/>
        <v>10.52</v>
      </c>
      <c r="I51" s="36">
        <f>I52</f>
        <v>509.76</v>
      </c>
      <c r="J51" s="36">
        <f>J52+J54</f>
        <v>2352.7706800000001</v>
      </c>
      <c r="K51" s="36">
        <f t="shared" ref="K51:M51" si="20">K52+K54</f>
        <v>0</v>
      </c>
      <c r="L51" s="36">
        <f t="shared" si="20"/>
        <v>0</v>
      </c>
      <c r="M51" s="36">
        <f t="shared" si="20"/>
        <v>3748.3006800000003</v>
      </c>
      <c r="N51" s="36">
        <f t="shared" ref="N51:O51" si="21">N52</f>
        <v>2000</v>
      </c>
      <c r="O51" s="36">
        <f t="shared" si="21"/>
        <v>500</v>
      </c>
      <c r="P51" s="36">
        <f t="shared" si="10"/>
        <v>6248.3006800000003</v>
      </c>
    </row>
    <row r="52" spans="1:16" ht="46.8" customHeight="1" x14ac:dyDescent="0.3">
      <c r="A52" s="37" t="s">
        <v>26</v>
      </c>
      <c r="B52" s="38" t="s">
        <v>102</v>
      </c>
      <c r="C52" s="37" t="s">
        <v>33</v>
      </c>
      <c r="D52" s="41">
        <v>623.99</v>
      </c>
      <c r="E52" s="41"/>
      <c r="F52" s="39"/>
      <c r="G52" s="41">
        <v>251.26</v>
      </c>
      <c r="H52" s="41">
        <v>10.52</v>
      </c>
      <c r="I52" s="41">
        <v>509.76</v>
      </c>
      <c r="J52" s="41">
        <v>675.08</v>
      </c>
      <c r="K52" s="41"/>
      <c r="L52" s="41"/>
      <c r="M52" s="27">
        <f t="shared" si="11"/>
        <v>2070.61</v>
      </c>
      <c r="N52" s="41">
        <v>2000</v>
      </c>
      <c r="O52" s="41">
        <v>500</v>
      </c>
      <c r="P52" s="36">
        <f t="shared" si="10"/>
        <v>4570.6100000000006</v>
      </c>
    </row>
    <row r="53" spans="1:16" ht="72.599999999999994" customHeight="1" x14ac:dyDescent="0.3">
      <c r="A53" s="37" t="s">
        <v>28</v>
      </c>
      <c r="B53" s="38" t="s">
        <v>103</v>
      </c>
      <c r="C53" s="58" t="s">
        <v>33</v>
      </c>
      <c r="D53" s="41"/>
      <c r="E53" s="41"/>
      <c r="F53" s="39"/>
      <c r="G53" s="41"/>
      <c r="H53" s="41"/>
      <c r="I53" s="41"/>
      <c r="J53" s="41"/>
      <c r="K53" s="41"/>
      <c r="L53" s="41"/>
      <c r="M53" s="27">
        <f t="shared" si="11"/>
        <v>0</v>
      </c>
      <c r="N53" s="41"/>
      <c r="O53" s="41"/>
      <c r="P53" s="36">
        <f t="shared" si="10"/>
        <v>0</v>
      </c>
    </row>
    <row r="54" spans="1:16" ht="59.4" customHeight="1" x14ac:dyDescent="0.3">
      <c r="A54" s="37" t="s">
        <v>30</v>
      </c>
      <c r="B54" s="38" t="s">
        <v>104</v>
      </c>
      <c r="C54" s="58" t="s">
        <v>33</v>
      </c>
      <c r="D54" s="59">
        <v>0</v>
      </c>
      <c r="E54" s="59"/>
      <c r="F54" s="59"/>
      <c r="G54" s="59"/>
      <c r="H54" s="59"/>
      <c r="I54" s="59"/>
      <c r="J54" s="59">
        <f>J55+J58</f>
        <v>1677.6906799999999</v>
      </c>
      <c r="K54" s="59"/>
      <c r="L54" s="59"/>
      <c r="M54" s="31">
        <f t="shared" si="11"/>
        <v>1677.6906799999999</v>
      </c>
      <c r="N54" s="59"/>
      <c r="O54" s="59"/>
      <c r="P54" s="36">
        <f t="shared" si="10"/>
        <v>1677.6906799999999</v>
      </c>
    </row>
    <row r="55" spans="1:16" ht="37.799999999999997" customHeight="1" x14ac:dyDescent="0.3">
      <c r="A55" s="37" t="s">
        <v>105</v>
      </c>
      <c r="B55" s="38" t="s">
        <v>106</v>
      </c>
      <c r="C55" s="37" t="s">
        <v>33</v>
      </c>
      <c r="D55" s="39">
        <v>0</v>
      </c>
      <c r="E55" s="41"/>
      <c r="F55" s="39"/>
      <c r="G55" s="39"/>
      <c r="H55" s="39"/>
      <c r="I55" s="39"/>
      <c r="J55" s="39">
        <v>1287.56</v>
      </c>
      <c r="K55" s="39"/>
      <c r="L55" s="39"/>
      <c r="M55" s="27">
        <f t="shared" si="11"/>
        <v>1287.56</v>
      </c>
      <c r="N55" s="39"/>
      <c r="O55" s="39"/>
      <c r="P55" s="36">
        <f t="shared" si="10"/>
        <v>1287.56</v>
      </c>
    </row>
    <row r="56" spans="1:16" ht="23.4" customHeight="1" x14ac:dyDescent="0.3">
      <c r="A56" s="43" t="s">
        <v>107</v>
      </c>
      <c r="B56" s="60" t="s">
        <v>67</v>
      </c>
      <c r="C56" s="43" t="s">
        <v>68</v>
      </c>
      <c r="D56" s="45">
        <v>0</v>
      </c>
      <c r="E56" s="45"/>
      <c r="F56" s="45"/>
      <c r="G56" s="45"/>
      <c r="H56" s="45"/>
      <c r="I56" s="45"/>
      <c r="J56" s="45">
        <v>5</v>
      </c>
      <c r="K56" s="45"/>
      <c r="L56" s="45"/>
      <c r="M56" s="46">
        <f t="shared" si="11"/>
        <v>5</v>
      </c>
      <c r="N56" s="45"/>
      <c r="O56" s="45"/>
      <c r="P56" s="36">
        <f t="shared" si="10"/>
        <v>5</v>
      </c>
    </row>
    <row r="57" spans="1:16" ht="23.4" customHeight="1" x14ac:dyDescent="0.3">
      <c r="A57" s="43" t="s">
        <v>108</v>
      </c>
      <c r="B57" s="60" t="s">
        <v>70</v>
      </c>
      <c r="C57" s="43" t="s">
        <v>71</v>
      </c>
      <c r="D57" s="45">
        <v>0</v>
      </c>
      <c r="E57" s="45"/>
      <c r="F57" s="45"/>
      <c r="G57" s="45"/>
      <c r="H57" s="45"/>
      <c r="I57" s="45"/>
      <c r="J57" s="45">
        <f>J55/J56/12*1000</f>
        <v>21459.333333333332</v>
      </c>
      <c r="K57" s="45"/>
      <c r="L57" s="45"/>
      <c r="M57" s="46">
        <f t="shared" si="11"/>
        <v>21459.333333333332</v>
      </c>
      <c r="N57" s="45"/>
      <c r="O57" s="45"/>
      <c r="P57" s="36">
        <f t="shared" si="10"/>
        <v>21459.333333333332</v>
      </c>
    </row>
    <row r="58" spans="1:16" x14ac:dyDescent="0.3">
      <c r="A58" s="84" t="s">
        <v>109</v>
      </c>
      <c r="B58" s="86" t="s">
        <v>110</v>
      </c>
      <c r="C58" s="37" t="s">
        <v>33</v>
      </c>
      <c r="D58" s="39">
        <v>0</v>
      </c>
      <c r="E58" s="39"/>
      <c r="F58" s="39"/>
      <c r="G58" s="39"/>
      <c r="H58" s="39"/>
      <c r="I58" s="39"/>
      <c r="J58" s="39">
        <f>J55*30.3%</f>
        <v>390.13067999999998</v>
      </c>
      <c r="K58" s="39"/>
      <c r="L58" s="39"/>
      <c r="M58" s="27">
        <f t="shared" si="11"/>
        <v>390.13067999999998</v>
      </c>
      <c r="N58" s="39"/>
      <c r="O58" s="39"/>
      <c r="P58" s="36">
        <f t="shared" si="10"/>
        <v>390.13067999999998</v>
      </c>
    </row>
    <row r="59" spans="1:16" x14ac:dyDescent="0.3">
      <c r="A59" s="85"/>
      <c r="B59" s="87"/>
      <c r="C59" s="47" t="s">
        <v>74</v>
      </c>
      <c r="D59" s="48">
        <v>30.3</v>
      </c>
      <c r="E59" s="48"/>
      <c r="F59" s="48"/>
      <c r="G59" s="48"/>
      <c r="H59" s="48"/>
      <c r="I59" s="48"/>
      <c r="J59" s="48">
        <v>30.3</v>
      </c>
      <c r="K59" s="48"/>
      <c r="L59" s="48"/>
      <c r="M59" s="49"/>
      <c r="N59" s="48"/>
      <c r="O59" s="48"/>
      <c r="P59" s="36">
        <f t="shared" si="10"/>
        <v>60.6</v>
      </c>
    </row>
    <row r="60" spans="1:16" ht="48" customHeight="1" x14ac:dyDescent="0.3">
      <c r="A60" s="34">
        <v>3</v>
      </c>
      <c r="B60" s="61" t="s">
        <v>111</v>
      </c>
      <c r="C60" s="34" t="s">
        <v>33</v>
      </c>
      <c r="D60" s="36">
        <f t="shared" ref="D60:H60" si="22">D61+D69+D75+D76++D77+D78</f>
        <v>1072.8598418335996</v>
      </c>
      <c r="E60" s="36"/>
      <c r="F60" s="36"/>
      <c r="G60" s="36">
        <f t="shared" si="22"/>
        <v>1112.0954099999999</v>
      </c>
      <c r="H60" s="36">
        <f t="shared" si="22"/>
        <v>48.76</v>
      </c>
      <c r="I60" s="36">
        <f>I61+I69+I75+I76++I77+I78</f>
        <v>214.47</v>
      </c>
      <c r="J60" s="36">
        <f t="shared" ref="J60:O60" si="23">J61+J69+J75+J76++J77+J78</f>
        <v>4063.56</v>
      </c>
      <c r="K60" s="36">
        <f t="shared" si="23"/>
        <v>404.06588999999997</v>
      </c>
      <c r="L60" s="36">
        <f t="shared" si="23"/>
        <v>154.50795999999997</v>
      </c>
      <c r="M60" s="36">
        <f t="shared" si="23"/>
        <v>7070.3191018336001</v>
      </c>
      <c r="N60" s="36">
        <f t="shared" si="23"/>
        <v>808.15177999999992</v>
      </c>
      <c r="O60" s="36">
        <f t="shared" si="23"/>
        <v>384.03588999999999</v>
      </c>
      <c r="P60" s="36">
        <f t="shared" si="10"/>
        <v>8262.5067718335995</v>
      </c>
    </row>
    <row r="61" spans="1:16" ht="54.6" customHeight="1" x14ac:dyDescent="0.3">
      <c r="A61" s="37" t="s">
        <v>112</v>
      </c>
      <c r="B61" s="38" t="s">
        <v>113</v>
      </c>
      <c r="C61" s="37" t="s">
        <v>33</v>
      </c>
      <c r="D61" s="62">
        <f t="shared" ref="D61:H61" si="24">D62+D63+D64+D65+D66+D67+D68</f>
        <v>88.990151833599711</v>
      </c>
      <c r="E61" s="62"/>
      <c r="F61" s="62"/>
      <c r="G61" s="62">
        <f t="shared" si="24"/>
        <v>92.24799999999999</v>
      </c>
      <c r="H61" s="62">
        <f t="shared" si="24"/>
        <v>4.05</v>
      </c>
      <c r="I61" s="62">
        <f>I62+I63+I64+I65+I66+I67+I68</f>
        <v>17.79</v>
      </c>
      <c r="J61" s="62">
        <f t="shared" ref="J61:O61" si="25">J62+J63+J64+J65+J66+J67+J68</f>
        <v>405.9</v>
      </c>
      <c r="K61" s="62">
        <f t="shared" si="25"/>
        <v>30.5</v>
      </c>
      <c r="L61" s="62">
        <f t="shared" si="25"/>
        <v>10.827</v>
      </c>
      <c r="M61" s="62">
        <f t="shared" si="25"/>
        <v>650.30515183359967</v>
      </c>
      <c r="N61" s="62">
        <f t="shared" si="25"/>
        <v>61</v>
      </c>
      <c r="O61" s="62">
        <f t="shared" si="25"/>
        <v>19.990000000000002</v>
      </c>
      <c r="P61" s="36">
        <f t="shared" si="10"/>
        <v>731.29515183359968</v>
      </c>
    </row>
    <row r="62" spans="1:16" x14ac:dyDescent="0.3">
      <c r="A62" s="37" t="s">
        <v>114</v>
      </c>
      <c r="B62" s="40" t="s">
        <v>115</v>
      </c>
      <c r="C62" s="37" t="s">
        <v>33</v>
      </c>
      <c r="D62" s="39">
        <v>57.55</v>
      </c>
      <c r="E62" s="41"/>
      <c r="F62" s="39"/>
      <c r="G62" s="39">
        <v>59.654000000000003</v>
      </c>
      <c r="H62" s="39">
        <v>2.62</v>
      </c>
      <c r="I62" s="39">
        <v>11.5</v>
      </c>
      <c r="J62" s="39">
        <v>156.5</v>
      </c>
      <c r="K62" s="39">
        <v>19.71</v>
      </c>
      <c r="L62" s="39">
        <v>6.68</v>
      </c>
      <c r="M62" s="27">
        <f t="shared" si="11"/>
        <v>314.214</v>
      </c>
      <c r="N62" s="39">
        <v>39.42</v>
      </c>
      <c r="O62" s="39">
        <v>11.3</v>
      </c>
      <c r="P62" s="36">
        <f t="shared" si="10"/>
        <v>364.93400000000003</v>
      </c>
    </row>
    <row r="63" spans="1:16" x14ac:dyDescent="0.3">
      <c r="A63" s="37" t="s">
        <v>116</v>
      </c>
      <c r="B63" s="40" t="s">
        <v>117</v>
      </c>
      <c r="C63" s="37" t="s">
        <v>33</v>
      </c>
      <c r="D63" s="39">
        <v>9.6401518335997132</v>
      </c>
      <c r="E63" s="41"/>
      <c r="F63" s="39"/>
      <c r="G63" s="39">
        <v>9.9939999999999998</v>
      </c>
      <c r="H63" s="39">
        <v>0.44</v>
      </c>
      <c r="I63" s="39">
        <v>1.93</v>
      </c>
      <c r="J63" s="39"/>
      <c r="K63" s="39">
        <v>0.98</v>
      </c>
      <c r="L63" s="39">
        <v>0.38</v>
      </c>
      <c r="M63" s="27">
        <f t="shared" si="11"/>
        <v>23.364151833599713</v>
      </c>
      <c r="N63" s="39">
        <v>1.96</v>
      </c>
      <c r="O63" s="39">
        <v>0.98</v>
      </c>
      <c r="P63" s="36">
        <f t="shared" si="10"/>
        <v>26.304151833599715</v>
      </c>
    </row>
    <row r="64" spans="1:16" x14ac:dyDescent="0.3">
      <c r="A64" s="37" t="s">
        <v>118</v>
      </c>
      <c r="B64" s="40" t="s">
        <v>119</v>
      </c>
      <c r="C64" s="37" t="s">
        <v>33</v>
      </c>
      <c r="D64" s="39">
        <v>0</v>
      </c>
      <c r="E64" s="41"/>
      <c r="F64" s="39"/>
      <c r="G64" s="39"/>
      <c r="H64" s="39"/>
      <c r="I64" s="39"/>
      <c r="J64" s="39"/>
      <c r="K64" s="39"/>
      <c r="L64" s="39"/>
      <c r="M64" s="27">
        <f t="shared" si="11"/>
        <v>0</v>
      </c>
      <c r="N64" s="39"/>
      <c r="O64" s="39"/>
      <c r="P64" s="36">
        <f t="shared" si="10"/>
        <v>0</v>
      </c>
    </row>
    <row r="65" spans="1:16" ht="18" customHeight="1" x14ac:dyDescent="0.3">
      <c r="A65" s="37" t="s">
        <v>120</v>
      </c>
      <c r="B65" s="42" t="s">
        <v>121</v>
      </c>
      <c r="C65" s="37" t="s">
        <v>33</v>
      </c>
      <c r="D65" s="39"/>
      <c r="E65" s="41"/>
      <c r="F65" s="39"/>
      <c r="G65" s="39"/>
      <c r="H65" s="39"/>
      <c r="I65" s="39"/>
      <c r="J65" s="39">
        <v>186.2</v>
      </c>
      <c r="K65" s="39">
        <v>4.45</v>
      </c>
      <c r="L65" s="39">
        <v>1.706</v>
      </c>
      <c r="M65" s="27">
        <f t="shared" si="11"/>
        <v>192.35599999999997</v>
      </c>
      <c r="N65" s="39">
        <v>8.9</v>
      </c>
      <c r="O65" s="39">
        <v>4.45</v>
      </c>
      <c r="P65" s="36">
        <f t="shared" si="10"/>
        <v>205.70599999999996</v>
      </c>
    </row>
    <row r="66" spans="1:16" ht="30.6" customHeight="1" x14ac:dyDescent="0.3">
      <c r="A66" s="37" t="s">
        <v>122</v>
      </c>
      <c r="B66" s="42" t="s">
        <v>123</v>
      </c>
      <c r="C66" s="37" t="s">
        <v>33</v>
      </c>
      <c r="D66" s="39">
        <v>21.8</v>
      </c>
      <c r="E66" s="41"/>
      <c r="F66" s="39"/>
      <c r="G66" s="39">
        <v>22.6</v>
      </c>
      <c r="H66" s="39">
        <v>0.99</v>
      </c>
      <c r="I66" s="39">
        <v>4.3600000000000003</v>
      </c>
      <c r="J66" s="39">
        <v>63.2</v>
      </c>
      <c r="K66" s="39">
        <v>5.36</v>
      </c>
      <c r="L66" s="39">
        <v>2.0609999999999999</v>
      </c>
      <c r="M66" s="27">
        <f t="shared" si="11"/>
        <v>120.37100000000001</v>
      </c>
      <c r="N66" s="39">
        <v>10.72</v>
      </c>
      <c r="O66" s="39">
        <v>3.26</v>
      </c>
      <c r="P66" s="36">
        <f t="shared" si="10"/>
        <v>134.351</v>
      </c>
    </row>
    <row r="67" spans="1:16" x14ac:dyDescent="0.3">
      <c r="A67" s="37" t="s">
        <v>124</v>
      </c>
      <c r="B67" s="40" t="s">
        <v>125</v>
      </c>
      <c r="C67" s="37" t="s">
        <v>33</v>
      </c>
      <c r="D67" s="39">
        <v>0</v>
      </c>
      <c r="E67" s="41"/>
      <c r="F67" s="39"/>
      <c r="G67" s="39"/>
      <c r="H67" s="39"/>
      <c r="I67" s="39"/>
      <c r="J67" s="39"/>
      <c r="K67" s="39"/>
      <c r="L67" s="39"/>
      <c r="M67" s="27">
        <f t="shared" si="11"/>
        <v>0</v>
      </c>
      <c r="N67" s="39"/>
      <c r="O67" s="39"/>
      <c r="P67" s="36">
        <f t="shared" si="10"/>
        <v>0</v>
      </c>
    </row>
    <row r="68" spans="1:16" x14ac:dyDescent="0.3">
      <c r="A68" s="37" t="s">
        <v>126</v>
      </c>
      <c r="B68" s="40" t="s">
        <v>127</v>
      </c>
      <c r="C68" s="37" t="s">
        <v>33</v>
      </c>
      <c r="D68" s="39">
        <v>0</v>
      </c>
      <c r="E68" s="41"/>
      <c r="F68" s="39"/>
      <c r="G68" s="39"/>
      <c r="H68" s="39"/>
      <c r="I68" s="39"/>
      <c r="J68" s="39"/>
      <c r="K68" s="39"/>
      <c r="L68" s="39"/>
      <c r="M68" s="27">
        <f t="shared" si="11"/>
        <v>0</v>
      </c>
      <c r="N68" s="39"/>
      <c r="O68" s="39"/>
      <c r="P68" s="36">
        <f t="shared" si="10"/>
        <v>0</v>
      </c>
    </row>
    <row r="69" spans="1:16" ht="67.8" customHeight="1" x14ac:dyDescent="0.3">
      <c r="A69" s="37" t="s">
        <v>128</v>
      </c>
      <c r="B69" s="38" t="s">
        <v>129</v>
      </c>
      <c r="C69" s="37" t="s">
        <v>33</v>
      </c>
      <c r="D69" s="39">
        <f>D70+D73</f>
        <v>899.36968999999999</v>
      </c>
      <c r="E69" s="39"/>
      <c r="F69" s="39"/>
      <c r="G69" s="39">
        <f t="shared" ref="G69" si="26">G70+G73</f>
        <v>932.25741000000005</v>
      </c>
      <c r="H69" s="39">
        <v>40.869999999999997</v>
      </c>
      <c r="I69" s="39">
        <f>I70+I73</f>
        <v>179.79</v>
      </c>
      <c r="J69" s="39">
        <f>J70+J73</f>
        <v>3452.8599999999997</v>
      </c>
      <c r="K69" s="39">
        <f t="shared" ref="K69:L69" si="27">K70+K73</f>
        <v>333.08589000000001</v>
      </c>
      <c r="L69" s="39">
        <f t="shared" si="27"/>
        <v>128.11095999999998</v>
      </c>
      <c r="M69" s="27">
        <f t="shared" si="11"/>
        <v>5966.3439500000004</v>
      </c>
      <c r="N69" s="39">
        <f t="shared" ref="N69:O69" si="28">N70+N73</f>
        <v>666.17178000000001</v>
      </c>
      <c r="O69" s="39">
        <f t="shared" si="28"/>
        <v>333.08589000000001</v>
      </c>
      <c r="P69" s="36">
        <f t="shared" si="10"/>
        <v>6965.6016200000004</v>
      </c>
    </row>
    <row r="70" spans="1:16" ht="46.8" customHeight="1" x14ac:dyDescent="0.3">
      <c r="A70" s="37" t="s">
        <v>130</v>
      </c>
      <c r="B70" s="42" t="s">
        <v>131</v>
      </c>
      <c r="C70" s="37" t="s">
        <v>33</v>
      </c>
      <c r="D70" s="39">
        <v>690.23</v>
      </c>
      <c r="E70" s="41"/>
      <c r="F70" s="39"/>
      <c r="G70" s="39">
        <v>715.47</v>
      </c>
      <c r="H70" s="39">
        <v>31.37</v>
      </c>
      <c r="I70" s="39">
        <v>137.97999999999999</v>
      </c>
      <c r="J70" s="39">
        <v>2649.93</v>
      </c>
      <c r="K70" s="39">
        <v>255.63</v>
      </c>
      <c r="L70" s="39">
        <v>98.32</v>
      </c>
      <c r="M70" s="27">
        <f t="shared" si="11"/>
        <v>4578.9299999999994</v>
      </c>
      <c r="N70" s="39">
        <v>511.26</v>
      </c>
      <c r="O70" s="39">
        <v>255.63</v>
      </c>
      <c r="P70" s="36">
        <f t="shared" si="10"/>
        <v>5345.82</v>
      </c>
    </row>
    <row r="71" spans="1:16" ht="22.2" customHeight="1" x14ac:dyDescent="0.3">
      <c r="A71" s="47" t="s">
        <v>132</v>
      </c>
      <c r="B71" s="63" t="s">
        <v>67</v>
      </c>
      <c r="C71" s="47" t="s">
        <v>68</v>
      </c>
      <c r="D71" s="48">
        <v>3.0706267366034297</v>
      </c>
      <c r="E71" s="48"/>
      <c r="F71" s="48"/>
      <c r="G71" s="48">
        <v>2.85</v>
      </c>
      <c r="H71" s="48">
        <v>0.12</v>
      </c>
      <c r="I71" s="48">
        <v>0.55000000000000004</v>
      </c>
      <c r="J71" s="48">
        <v>8</v>
      </c>
      <c r="K71" s="48"/>
      <c r="L71" s="48"/>
      <c r="M71" s="49">
        <f t="shared" si="11"/>
        <v>14.590626736603429</v>
      </c>
      <c r="N71" s="48"/>
      <c r="O71" s="48"/>
      <c r="P71" s="36">
        <f t="shared" si="10"/>
        <v>14.590626736603429</v>
      </c>
    </row>
    <row r="72" spans="1:16" ht="22.2" customHeight="1" x14ac:dyDescent="0.3">
      <c r="A72" s="47" t="s">
        <v>133</v>
      </c>
      <c r="B72" s="63" t="s">
        <v>70</v>
      </c>
      <c r="C72" s="47" t="s">
        <v>71</v>
      </c>
      <c r="D72" s="48">
        <v>18735.89</v>
      </c>
      <c r="E72" s="48"/>
      <c r="F72" s="48"/>
      <c r="G72" s="48">
        <v>20935.830000000002</v>
      </c>
      <c r="H72" s="48">
        <v>20935.830000000002</v>
      </c>
      <c r="I72" s="48">
        <v>20935.830000000002</v>
      </c>
      <c r="J72" s="48">
        <f>J70/J71/12*1000</f>
        <v>27603.4375</v>
      </c>
      <c r="K72" s="48"/>
      <c r="L72" s="48"/>
      <c r="M72" s="49">
        <f>(D72+G72+H72+I72+J72+K72+L72)/5</f>
        <v>21829.363499999999</v>
      </c>
      <c r="N72" s="48"/>
      <c r="O72" s="48"/>
      <c r="P72" s="36">
        <f t="shared" si="10"/>
        <v>109146.8175</v>
      </c>
    </row>
    <row r="73" spans="1:16" x14ac:dyDescent="0.3">
      <c r="A73" s="84" t="s">
        <v>134</v>
      </c>
      <c r="B73" s="86" t="s">
        <v>135</v>
      </c>
      <c r="C73" s="37" t="s">
        <v>33</v>
      </c>
      <c r="D73" s="39">
        <f>D70*30.3%</f>
        <v>209.13969</v>
      </c>
      <c r="E73" s="39"/>
      <c r="F73" s="39"/>
      <c r="G73" s="39">
        <f t="shared" ref="G73" si="29">G70*30.3%</f>
        <v>216.78740999999999</v>
      </c>
      <c r="H73" s="39">
        <v>9.5</v>
      </c>
      <c r="I73" s="39">
        <v>41.81</v>
      </c>
      <c r="J73" s="39">
        <v>802.93</v>
      </c>
      <c r="K73" s="39">
        <f>K70*30.3%</f>
        <v>77.455889999999997</v>
      </c>
      <c r="L73" s="39">
        <f>L70*30.3%</f>
        <v>29.790959999999998</v>
      </c>
      <c r="M73" s="27">
        <f t="shared" si="11"/>
        <v>1387.4139499999999</v>
      </c>
      <c r="N73" s="39">
        <f t="shared" ref="N73:O73" si="30">N70*30.3%</f>
        <v>154.91177999999999</v>
      </c>
      <c r="O73" s="39">
        <f t="shared" si="30"/>
        <v>77.455889999999997</v>
      </c>
      <c r="P73" s="36">
        <f t="shared" si="10"/>
        <v>1619.7816199999997</v>
      </c>
    </row>
    <row r="74" spans="1:16" x14ac:dyDescent="0.3">
      <c r="A74" s="85"/>
      <c r="B74" s="87"/>
      <c r="C74" s="47" t="s">
        <v>74</v>
      </c>
      <c r="D74" s="48">
        <v>30.3</v>
      </c>
      <c r="E74" s="48"/>
      <c r="F74" s="48"/>
      <c r="G74" s="48">
        <v>30.3</v>
      </c>
      <c r="H74" s="48">
        <v>30.3</v>
      </c>
      <c r="I74" s="48">
        <v>30.3</v>
      </c>
      <c r="J74" s="48">
        <v>30.3</v>
      </c>
      <c r="K74" s="48">
        <v>30.3</v>
      </c>
      <c r="L74" s="48">
        <v>30.3</v>
      </c>
      <c r="M74" s="49"/>
      <c r="N74" s="48">
        <v>30.3</v>
      </c>
      <c r="O74" s="48">
        <v>30.3</v>
      </c>
      <c r="P74" s="36">
        <f t="shared" si="10"/>
        <v>272.70000000000005</v>
      </c>
    </row>
    <row r="75" spans="1:16" x14ac:dyDescent="0.3">
      <c r="A75" s="37" t="s">
        <v>136</v>
      </c>
      <c r="B75" s="64" t="s">
        <v>137</v>
      </c>
      <c r="C75" s="37" t="s">
        <v>33</v>
      </c>
      <c r="D75" s="39"/>
      <c r="E75" s="41"/>
      <c r="F75" s="39"/>
      <c r="G75" s="39"/>
      <c r="H75" s="39"/>
      <c r="I75" s="39"/>
      <c r="J75" s="39">
        <v>17.399999999999999</v>
      </c>
      <c r="K75" s="39">
        <v>2.0299999999999998</v>
      </c>
      <c r="L75" s="39">
        <v>0.78</v>
      </c>
      <c r="M75" s="27">
        <f t="shared" si="11"/>
        <v>20.21</v>
      </c>
      <c r="N75" s="39">
        <v>4.0599999999999996</v>
      </c>
      <c r="O75" s="39">
        <v>2.0299999999999998</v>
      </c>
      <c r="P75" s="36">
        <f t="shared" si="10"/>
        <v>26.3</v>
      </c>
    </row>
    <row r="76" spans="1:16" x14ac:dyDescent="0.3">
      <c r="A76" s="37" t="s">
        <v>138</v>
      </c>
      <c r="B76" s="64" t="s">
        <v>139</v>
      </c>
      <c r="C76" s="37" t="s">
        <v>33</v>
      </c>
      <c r="D76" s="39">
        <v>2.13</v>
      </c>
      <c r="E76" s="41"/>
      <c r="F76" s="39"/>
      <c r="G76" s="39">
        <v>2.21</v>
      </c>
      <c r="H76" s="39">
        <v>0.1</v>
      </c>
      <c r="I76" s="39">
        <v>0.43</v>
      </c>
      <c r="J76" s="39">
        <v>6.8</v>
      </c>
      <c r="K76" s="39">
        <v>0.8</v>
      </c>
      <c r="L76" s="39">
        <v>0.31</v>
      </c>
      <c r="M76" s="27">
        <f t="shared" si="11"/>
        <v>12.78</v>
      </c>
      <c r="N76" s="39">
        <v>1.6</v>
      </c>
      <c r="O76" s="39">
        <v>0.8</v>
      </c>
      <c r="P76" s="36">
        <f t="shared" si="10"/>
        <v>15.18</v>
      </c>
    </row>
    <row r="77" spans="1:16" ht="36" customHeight="1" x14ac:dyDescent="0.3">
      <c r="A77" s="37" t="s">
        <v>140</v>
      </c>
      <c r="B77" s="38" t="s">
        <v>141</v>
      </c>
      <c r="C77" s="37" t="s">
        <v>33</v>
      </c>
      <c r="D77" s="39">
        <v>0</v>
      </c>
      <c r="E77" s="41"/>
      <c r="F77" s="39"/>
      <c r="G77" s="39"/>
      <c r="H77" s="39"/>
      <c r="I77" s="39"/>
      <c r="J77" s="39"/>
      <c r="K77" s="39"/>
      <c r="L77" s="39"/>
      <c r="M77" s="27">
        <f t="shared" si="11"/>
        <v>0</v>
      </c>
      <c r="N77" s="39"/>
      <c r="O77" s="39"/>
      <c r="P77" s="36">
        <f t="shared" si="10"/>
        <v>0</v>
      </c>
    </row>
    <row r="78" spans="1:16" ht="36" customHeight="1" x14ac:dyDescent="0.3">
      <c r="A78" s="37" t="s">
        <v>142</v>
      </c>
      <c r="B78" s="38" t="s">
        <v>143</v>
      </c>
      <c r="C78" s="37" t="s">
        <v>33</v>
      </c>
      <c r="D78" s="39">
        <v>82.37</v>
      </c>
      <c r="E78" s="41"/>
      <c r="F78" s="39"/>
      <c r="G78" s="39">
        <v>85.38</v>
      </c>
      <c r="H78" s="39">
        <v>3.74</v>
      </c>
      <c r="I78" s="39">
        <v>16.46</v>
      </c>
      <c r="J78" s="39">
        <v>180.6</v>
      </c>
      <c r="K78" s="39">
        <v>37.65</v>
      </c>
      <c r="L78" s="39">
        <v>14.48</v>
      </c>
      <c r="M78" s="27">
        <f t="shared" si="11"/>
        <v>420.68</v>
      </c>
      <c r="N78" s="39">
        <v>75.319999999999993</v>
      </c>
      <c r="O78" s="39">
        <v>28.13</v>
      </c>
      <c r="P78" s="36">
        <f t="shared" si="10"/>
        <v>524.13</v>
      </c>
    </row>
    <row r="79" spans="1:16" ht="36" customHeight="1" x14ac:dyDescent="0.3">
      <c r="A79" s="37" t="s">
        <v>144</v>
      </c>
      <c r="B79" s="42" t="s">
        <v>145</v>
      </c>
      <c r="C79" s="37" t="s">
        <v>33</v>
      </c>
      <c r="D79" s="39">
        <v>21.86</v>
      </c>
      <c r="E79" s="41"/>
      <c r="F79" s="39"/>
      <c r="G79" s="39">
        <v>22.66</v>
      </c>
      <c r="H79" s="39">
        <v>0.99</v>
      </c>
      <c r="I79" s="39">
        <v>4.37</v>
      </c>
      <c r="J79" s="39">
        <v>41.4</v>
      </c>
      <c r="K79" s="39">
        <v>6.86</v>
      </c>
      <c r="L79" s="39">
        <v>2.64</v>
      </c>
      <c r="M79" s="27">
        <f t="shared" si="11"/>
        <v>100.78</v>
      </c>
      <c r="N79" s="39">
        <v>13.73</v>
      </c>
      <c r="O79" s="39">
        <v>5.92</v>
      </c>
      <c r="P79" s="36">
        <f t="shared" si="10"/>
        <v>120.43</v>
      </c>
    </row>
    <row r="80" spans="1:16" x14ac:dyDescent="0.3">
      <c r="A80" s="34">
        <v>4</v>
      </c>
      <c r="B80" s="57" t="s">
        <v>146</v>
      </c>
      <c r="C80" s="34" t="s">
        <v>33</v>
      </c>
      <c r="D80" s="36">
        <f>D81</f>
        <v>49.934621900000003</v>
      </c>
      <c r="E80" s="36"/>
      <c r="F80" s="36"/>
      <c r="G80" s="36">
        <f t="shared" ref="G80:O80" si="31">G81</f>
        <v>121.78</v>
      </c>
      <c r="H80" s="36">
        <f t="shared" si="31"/>
        <v>5.4550000000000001</v>
      </c>
      <c r="I80" s="36">
        <f t="shared" si="31"/>
        <v>0</v>
      </c>
      <c r="J80" s="36">
        <f t="shared" si="31"/>
        <v>742.14400000000001</v>
      </c>
      <c r="K80" s="36">
        <f t="shared" si="31"/>
        <v>0</v>
      </c>
      <c r="L80" s="36">
        <f t="shared" si="31"/>
        <v>0</v>
      </c>
      <c r="M80" s="36">
        <f t="shared" si="31"/>
        <v>919.31362190000004</v>
      </c>
      <c r="N80" s="36">
        <f t="shared" si="31"/>
        <v>0</v>
      </c>
      <c r="O80" s="36">
        <f t="shared" si="31"/>
        <v>0</v>
      </c>
      <c r="P80" s="36">
        <f t="shared" si="10"/>
        <v>919.31362190000004</v>
      </c>
    </row>
    <row r="81" spans="1:16" ht="32.4" customHeight="1" x14ac:dyDescent="0.3">
      <c r="A81" s="12" t="s">
        <v>147</v>
      </c>
      <c r="B81" s="38" t="s">
        <v>148</v>
      </c>
      <c r="C81" s="37" t="s">
        <v>33</v>
      </c>
      <c r="D81" s="39">
        <v>49.934621900000003</v>
      </c>
      <c r="E81" s="41"/>
      <c r="F81" s="39"/>
      <c r="G81" s="39">
        <v>121.78</v>
      </c>
      <c r="H81" s="39">
        <v>5.4550000000000001</v>
      </c>
      <c r="I81" s="39"/>
      <c r="J81" s="39">
        <v>742.14400000000001</v>
      </c>
      <c r="K81" s="39"/>
      <c r="L81" s="39"/>
      <c r="M81" s="27">
        <f t="shared" si="11"/>
        <v>919.31362190000004</v>
      </c>
      <c r="N81" s="39"/>
      <c r="O81" s="39"/>
      <c r="P81" s="36">
        <f t="shared" si="10"/>
        <v>919.31362190000004</v>
      </c>
    </row>
    <row r="82" spans="1:16" ht="28.8" customHeight="1" x14ac:dyDescent="0.3">
      <c r="A82" s="34">
        <v>5</v>
      </c>
      <c r="B82" s="65" t="s">
        <v>149</v>
      </c>
      <c r="C82" s="34" t="s">
        <v>33</v>
      </c>
      <c r="D82" s="36">
        <v>0</v>
      </c>
      <c r="E82" s="36"/>
      <c r="F82" s="36"/>
      <c r="G82" s="36"/>
      <c r="H82" s="36"/>
      <c r="I82" s="36">
        <f>I83</f>
        <v>254.62</v>
      </c>
      <c r="J82" s="36"/>
      <c r="K82" s="36"/>
      <c r="L82" s="36"/>
      <c r="M82" s="36">
        <f t="shared" si="11"/>
        <v>254.62</v>
      </c>
      <c r="N82" s="36"/>
      <c r="O82" s="36"/>
      <c r="P82" s="36">
        <f t="shared" ref="P82:P105" si="32">D82+G82+H82+I82+J82+K82+L82+N82+O82</f>
        <v>254.62</v>
      </c>
    </row>
    <row r="83" spans="1:16" x14ac:dyDescent="0.3">
      <c r="A83" s="12" t="s">
        <v>150</v>
      </c>
      <c r="B83" s="64" t="s">
        <v>151</v>
      </c>
      <c r="C83" s="37" t="s">
        <v>33</v>
      </c>
      <c r="D83" s="39">
        <v>0</v>
      </c>
      <c r="E83" s="41"/>
      <c r="F83" s="39"/>
      <c r="G83" s="39"/>
      <c r="H83" s="39"/>
      <c r="I83" s="39">
        <v>254.62</v>
      </c>
      <c r="J83" s="39"/>
      <c r="K83" s="39"/>
      <c r="L83" s="39"/>
      <c r="M83" s="27">
        <f t="shared" si="11"/>
        <v>254.62</v>
      </c>
      <c r="N83" s="39"/>
      <c r="O83" s="39"/>
      <c r="P83" s="36">
        <f t="shared" si="32"/>
        <v>254.62</v>
      </c>
    </row>
    <row r="84" spans="1:16" x14ac:dyDescent="0.3">
      <c r="A84" s="37" t="s">
        <v>152</v>
      </c>
      <c r="B84" s="64" t="s">
        <v>153</v>
      </c>
      <c r="C84" s="37" t="s">
        <v>33</v>
      </c>
      <c r="D84" s="39">
        <v>0</v>
      </c>
      <c r="E84" s="41"/>
      <c r="F84" s="39"/>
      <c r="G84" s="39"/>
      <c r="H84" s="39"/>
      <c r="I84" s="39"/>
      <c r="J84" s="39"/>
      <c r="K84" s="39"/>
      <c r="L84" s="39"/>
      <c r="M84" s="27">
        <f t="shared" ref="M84:M105" si="33">D84+G84+H84+I84+J84+K84+L84</f>
        <v>0</v>
      </c>
      <c r="N84" s="39"/>
      <c r="O84" s="39"/>
      <c r="P84" s="36">
        <f t="shared" si="32"/>
        <v>0</v>
      </c>
    </row>
    <row r="85" spans="1:16" x14ac:dyDescent="0.3">
      <c r="A85" s="37" t="s">
        <v>154</v>
      </c>
      <c r="B85" s="64" t="s">
        <v>155</v>
      </c>
      <c r="C85" s="37" t="s">
        <v>33</v>
      </c>
      <c r="D85" s="39">
        <v>0</v>
      </c>
      <c r="E85" s="41"/>
      <c r="F85" s="39"/>
      <c r="G85" s="39"/>
      <c r="H85" s="39"/>
      <c r="I85" s="39"/>
      <c r="J85" s="39"/>
      <c r="K85" s="39"/>
      <c r="L85" s="39"/>
      <c r="M85" s="27">
        <f t="shared" si="33"/>
        <v>0</v>
      </c>
      <c r="N85" s="39"/>
      <c r="O85" s="39"/>
      <c r="P85" s="36">
        <f t="shared" si="32"/>
        <v>0</v>
      </c>
    </row>
    <row r="86" spans="1:16" x14ac:dyDescent="0.3">
      <c r="A86" s="37" t="s">
        <v>156</v>
      </c>
      <c r="B86" s="64" t="s">
        <v>157</v>
      </c>
      <c r="C86" s="37" t="s">
        <v>33</v>
      </c>
      <c r="D86" s="39">
        <v>0</v>
      </c>
      <c r="E86" s="41"/>
      <c r="F86" s="39"/>
      <c r="G86" s="39"/>
      <c r="H86" s="39"/>
      <c r="I86" s="39"/>
      <c r="J86" s="39"/>
      <c r="K86" s="39"/>
      <c r="L86" s="39"/>
      <c r="M86" s="27">
        <f t="shared" si="33"/>
        <v>0</v>
      </c>
      <c r="N86" s="39"/>
      <c r="O86" s="39"/>
      <c r="P86" s="36">
        <f t="shared" si="32"/>
        <v>0</v>
      </c>
    </row>
    <row r="87" spans="1:16" ht="40.200000000000003" customHeight="1" x14ac:dyDescent="0.3">
      <c r="A87" s="34">
        <v>6</v>
      </c>
      <c r="B87" s="65" t="s">
        <v>158</v>
      </c>
      <c r="C87" s="34" t="s">
        <v>33</v>
      </c>
      <c r="D87" s="36">
        <f>D88+D89+D90+D91+D92+D93+D94</f>
        <v>116.459</v>
      </c>
      <c r="E87" s="36"/>
      <c r="F87" s="36"/>
      <c r="G87" s="36">
        <f t="shared" ref="G87:O87" si="34">G88+G89+G90+G91+G92+G93+G94</f>
        <v>68.400000000000006</v>
      </c>
      <c r="H87" s="36">
        <f t="shared" si="34"/>
        <v>0</v>
      </c>
      <c r="I87" s="36">
        <f t="shared" si="34"/>
        <v>49.097999999999999</v>
      </c>
      <c r="J87" s="36">
        <f t="shared" si="34"/>
        <v>420</v>
      </c>
      <c r="K87" s="36">
        <f t="shared" si="34"/>
        <v>0</v>
      </c>
      <c r="L87" s="36">
        <f t="shared" si="34"/>
        <v>0</v>
      </c>
      <c r="M87" s="36">
        <f t="shared" si="34"/>
        <v>653.95699999999999</v>
      </c>
      <c r="N87" s="36">
        <f t="shared" si="34"/>
        <v>0</v>
      </c>
      <c r="O87" s="36">
        <f t="shared" si="34"/>
        <v>0</v>
      </c>
      <c r="P87" s="36">
        <f t="shared" si="32"/>
        <v>653.95699999999999</v>
      </c>
    </row>
    <row r="88" spans="1:16" x14ac:dyDescent="0.3">
      <c r="A88" s="12" t="s">
        <v>159</v>
      </c>
      <c r="B88" s="64" t="s">
        <v>160</v>
      </c>
      <c r="C88" s="37" t="s">
        <v>33</v>
      </c>
      <c r="D88" s="39">
        <v>0</v>
      </c>
      <c r="E88" s="41"/>
      <c r="F88" s="39"/>
      <c r="G88" s="39"/>
      <c r="H88" s="39"/>
      <c r="I88" s="39"/>
      <c r="J88" s="39"/>
      <c r="K88" s="39"/>
      <c r="L88" s="39"/>
      <c r="M88" s="27">
        <f t="shared" si="33"/>
        <v>0</v>
      </c>
      <c r="N88" s="39"/>
      <c r="O88" s="39"/>
      <c r="P88" s="36">
        <f t="shared" si="32"/>
        <v>0</v>
      </c>
    </row>
    <row r="89" spans="1:16" ht="27.6" customHeight="1" x14ac:dyDescent="0.3">
      <c r="A89" s="12" t="s">
        <v>152</v>
      </c>
      <c r="B89" s="38" t="s">
        <v>161</v>
      </c>
      <c r="C89" s="37" t="s">
        <v>33</v>
      </c>
      <c r="D89" s="39">
        <v>0</v>
      </c>
      <c r="E89" s="41"/>
      <c r="F89" s="39"/>
      <c r="G89" s="39"/>
      <c r="H89" s="39"/>
      <c r="I89" s="39"/>
      <c r="J89" s="39"/>
      <c r="K89" s="39"/>
      <c r="L89" s="39"/>
      <c r="M89" s="27">
        <f t="shared" si="33"/>
        <v>0</v>
      </c>
      <c r="N89" s="39"/>
      <c r="O89" s="39"/>
      <c r="P89" s="36">
        <f t="shared" si="32"/>
        <v>0</v>
      </c>
    </row>
    <row r="90" spans="1:16" ht="27.6" customHeight="1" x14ac:dyDescent="0.3">
      <c r="A90" s="12" t="s">
        <v>154</v>
      </c>
      <c r="B90" s="38" t="s">
        <v>162</v>
      </c>
      <c r="C90" s="37" t="s">
        <v>33</v>
      </c>
      <c r="D90" s="39">
        <v>0</v>
      </c>
      <c r="E90" s="41"/>
      <c r="F90" s="39"/>
      <c r="G90" s="39"/>
      <c r="H90" s="39"/>
      <c r="I90" s="39"/>
      <c r="J90" s="39"/>
      <c r="K90" s="39"/>
      <c r="L90" s="39"/>
      <c r="M90" s="27">
        <f t="shared" si="33"/>
        <v>0</v>
      </c>
      <c r="N90" s="39"/>
      <c r="O90" s="39"/>
      <c r="P90" s="36">
        <f t="shared" si="32"/>
        <v>0</v>
      </c>
    </row>
    <row r="91" spans="1:16" ht="43.8" customHeight="1" x14ac:dyDescent="0.3">
      <c r="A91" s="12" t="s">
        <v>156</v>
      </c>
      <c r="B91" s="38" t="s">
        <v>163</v>
      </c>
      <c r="C91" s="37" t="s">
        <v>33</v>
      </c>
      <c r="D91" s="39">
        <v>37.959000000000003</v>
      </c>
      <c r="E91" s="41"/>
      <c r="F91" s="39"/>
      <c r="G91" s="39"/>
      <c r="H91" s="39"/>
      <c r="I91" s="39">
        <v>14.474</v>
      </c>
      <c r="J91" s="39"/>
      <c r="K91" s="39"/>
      <c r="L91" s="39"/>
      <c r="M91" s="27">
        <f t="shared" si="33"/>
        <v>52.433000000000007</v>
      </c>
      <c r="N91" s="39"/>
      <c r="O91" s="39"/>
      <c r="P91" s="36">
        <f t="shared" si="32"/>
        <v>52.433000000000007</v>
      </c>
    </row>
    <row r="92" spans="1:16" x14ac:dyDescent="0.3">
      <c r="A92" s="12" t="s">
        <v>164</v>
      </c>
      <c r="B92" s="64" t="s">
        <v>165</v>
      </c>
      <c r="C92" s="37" t="s">
        <v>33</v>
      </c>
      <c r="D92" s="39"/>
      <c r="E92" s="41"/>
      <c r="F92" s="39"/>
      <c r="G92" s="39"/>
      <c r="H92" s="39"/>
      <c r="I92" s="39"/>
      <c r="J92" s="39"/>
      <c r="K92" s="39"/>
      <c r="L92" s="39"/>
      <c r="M92" s="27">
        <f t="shared" si="33"/>
        <v>0</v>
      </c>
      <c r="N92" s="39"/>
      <c r="O92" s="39"/>
      <c r="P92" s="36">
        <f t="shared" si="32"/>
        <v>0</v>
      </c>
    </row>
    <row r="93" spans="1:16" x14ac:dyDescent="0.3">
      <c r="A93" s="12" t="s">
        <v>166</v>
      </c>
      <c r="B93" s="64" t="s">
        <v>167</v>
      </c>
      <c r="C93" s="37" t="s">
        <v>33</v>
      </c>
      <c r="D93" s="39">
        <v>0</v>
      </c>
      <c r="E93" s="41"/>
      <c r="F93" s="39"/>
      <c r="G93" s="39"/>
      <c r="H93" s="39"/>
      <c r="I93" s="39"/>
      <c r="J93" s="39"/>
      <c r="K93" s="39"/>
      <c r="L93" s="39"/>
      <c r="M93" s="27">
        <f t="shared" si="33"/>
        <v>0</v>
      </c>
      <c r="N93" s="39"/>
      <c r="O93" s="39"/>
      <c r="P93" s="36">
        <f t="shared" si="32"/>
        <v>0</v>
      </c>
    </row>
    <row r="94" spans="1:16" x14ac:dyDescent="0.3">
      <c r="A94" s="12" t="s">
        <v>168</v>
      </c>
      <c r="B94" s="38" t="s">
        <v>169</v>
      </c>
      <c r="C94" s="37" t="s">
        <v>33</v>
      </c>
      <c r="D94" s="39">
        <v>78.5</v>
      </c>
      <c r="E94" s="41"/>
      <c r="F94" s="39"/>
      <c r="G94" s="39">
        <v>68.400000000000006</v>
      </c>
      <c r="H94" s="39"/>
      <c r="I94" s="39">
        <v>34.624000000000002</v>
      </c>
      <c r="J94" s="39">
        <v>420</v>
      </c>
      <c r="K94" s="39"/>
      <c r="L94" s="39"/>
      <c r="M94" s="27">
        <f t="shared" si="33"/>
        <v>601.524</v>
      </c>
      <c r="N94" s="39"/>
      <c r="O94" s="39"/>
      <c r="P94" s="36">
        <f t="shared" si="32"/>
        <v>601.524</v>
      </c>
    </row>
    <row r="95" spans="1:16" ht="27" customHeight="1" x14ac:dyDescent="0.3">
      <c r="A95" s="66">
        <v>7</v>
      </c>
      <c r="B95" s="67" t="s">
        <v>170</v>
      </c>
      <c r="C95" s="66" t="s">
        <v>33</v>
      </c>
      <c r="D95" s="68">
        <f>D17+D51+D60+D80+D87+D82</f>
        <v>8351.3986737335999</v>
      </c>
      <c r="E95" s="68"/>
      <c r="F95" s="68"/>
      <c r="G95" s="68">
        <f t="shared" ref="G95:O95" si="35">G17+G51+G60+G80+G87+G82</f>
        <v>10049.06025</v>
      </c>
      <c r="H95" s="68">
        <f t="shared" si="35"/>
        <v>476.14858999999996</v>
      </c>
      <c r="I95" s="68">
        <f t="shared" si="35"/>
        <v>3790.3780000000002</v>
      </c>
      <c r="J95" s="68">
        <f t="shared" si="35"/>
        <v>36302.97709</v>
      </c>
      <c r="K95" s="68">
        <f t="shared" si="35"/>
        <v>2576.5058899999999</v>
      </c>
      <c r="L95" s="68">
        <f t="shared" si="35"/>
        <v>1188.0379600000001</v>
      </c>
      <c r="M95" s="68">
        <f t="shared" si="35"/>
        <v>62734.506453733607</v>
      </c>
      <c r="N95" s="68">
        <f t="shared" si="35"/>
        <v>5669.9995900000004</v>
      </c>
      <c r="O95" s="68">
        <f t="shared" si="35"/>
        <v>1222.7328299999999</v>
      </c>
      <c r="P95" s="36">
        <f t="shared" si="32"/>
        <v>69627.2388737336</v>
      </c>
    </row>
    <row r="96" spans="1:16" x14ac:dyDescent="0.3">
      <c r="A96" s="34">
        <v>8</v>
      </c>
      <c r="B96" s="57" t="s">
        <v>171</v>
      </c>
      <c r="C96" s="34" t="s">
        <v>33</v>
      </c>
      <c r="D96" s="36">
        <f t="shared" ref="D96:L96" si="36">D99+D100</f>
        <v>115</v>
      </c>
      <c r="E96" s="36"/>
      <c r="F96" s="36"/>
      <c r="G96" s="36">
        <f t="shared" si="36"/>
        <v>55.6</v>
      </c>
      <c r="H96" s="36">
        <f t="shared" si="36"/>
        <v>4.6449999999999996</v>
      </c>
      <c r="I96" s="36">
        <f t="shared" si="36"/>
        <v>102.5</v>
      </c>
      <c r="J96" s="36">
        <f t="shared" si="36"/>
        <v>198.75</v>
      </c>
      <c r="K96" s="36">
        <f t="shared" si="36"/>
        <v>65</v>
      </c>
      <c r="L96" s="36">
        <f t="shared" si="36"/>
        <v>43.63</v>
      </c>
      <c r="M96" s="31">
        <f t="shared" si="33"/>
        <v>585.125</v>
      </c>
      <c r="N96" s="36">
        <f t="shared" ref="N96:O96" si="37">N99+N100</f>
        <v>0</v>
      </c>
      <c r="O96" s="36">
        <f t="shared" si="37"/>
        <v>60</v>
      </c>
      <c r="P96" s="36">
        <f t="shared" si="32"/>
        <v>645.125</v>
      </c>
    </row>
    <row r="97" spans="1:16" ht="43.8" customHeight="1" x14ac:dyDescent="0.3">
      <c r="A97" s="12" t="s">
        <v>172</v>
      </c>
      <c r="B97" s="38" t="s">
        <v>173</v>
      </c>
      <c r="C97" s="37" t="s">
        <v>33</v>
      </c>
      <c r="D97" s="41"/>
      <c r="E97" s="41"/>
      <c r="F97" s="39"/>
      <c r="G97" s="41"/>
      <c r="H97" s="41"/>
      <c r="I97" s="41"/>
      <c r="J97" s="41"/>
      <c r="K97" s="41"/>
      <c r="L97" s="41"/>
      <c r="M97" s="27">
        <f t="shared" si="33"/>
        <v>0</v>
      </c>
      <c r="N97" s="41"/>
      <c r="O97" s="41"/>
      <c r="P97" s="36">
        <f t="shared" si="32"/>
        <v>0</v>
      </c>
    </row>
    <row r="98" spans="1:16" ht="30" customHeight="1" x14ac:dyDescent="0.3">
      <c r="A98" s="12" t="s">
        <v>174</v>
      </c>
      <c r="B98" s="38" t="s">
        <v>175</v>
      </c>
      <c r="C98" s="37" t="s">
        <v>33</v>
      </c>
      <c r="D98" s="41"/>
      <c r="E98" s="41"/>
      <c r="F98" s="39"/>
      <c r="G98" s="41"/>
      <c r="H98" s="41"/>
      <c r="I98" s="41"/>
      <c r="J98" s="41"/>
      <c r="K98" s="41"/>
      <c r="L98" s="41"/>
      <c r="M98" s="27">
        <f t="shared" si="33"/>
        <v>0</v>
      </c>
      <c r="N98" s="41"/>
      <c r="O98" s="41"/>
      <c r="P98" s="36">
        <f t="shared" si="32"/>
        <v>0</v>
      </c>
    </row>
    <row r="99" spans="1:16" ht="42" customHeight="1" x14ac:dyDescent="0.3">
      <c r="A99" s="12" t="s">
        <v>176</v>
      </c>
      <c r="B99" s="38" t="s">
        <v>177</v>
      </c>
      <c r="C99" s="37" t="s">
        <v>33</v>
      </c>
      <c r="D99" s="41">
        <v>115</v>
      </c>
      <c r="E99" s="41"/>
      <c r="F99" s="39"/>
      <c r="G99" s="41">
        <v>55.6</v>
      </c>
      <c r="H99" s="41">
        <v>4.6449999999999996</v>
      </c>
      <c r="I99" s="41">
        <v>102.5</v>
      </c>
      <c r="J99" s="41">
        <v>198.75</v>
      </c>
      <c r="K99" s="41">
        <v>65</v>
      </c>
      <c r="L99" s="41">
        <v>43.63</v>
      </c>
      <c r="M99" s="27">
        <f t="shared" si="33"/>
        <v>585.125</v>
      </c>
      <c r="N99" s="41"/>
      <c r="O99" s="41">
        <v>60</v>
      </c>
      <c r="P99" s="36">
        <f t="shared" si="32"/>
        <v>645.125</v>
      </c>
    </row>
    <row r="100" spans="1:16" ht="87" customHeight="1" x14ac:dyDescent="0.3">
      <c r="A100" s="12" t="s">
        <v>178</v>
      </c>
      <c r="B100" s="38" t="s">
        <v>179</v>
      </c>
      <c r="C100" s="37" t="s">
        <v>33</v>
      </c>
      <c r="D100" s="41"/>
      <c r="E100" s="41"/>
      <c r="F100" s="39"/>
      <c r="G100" s="41"/>
      <c r="H100" s="41"/>
      <c r="I100" s="41"/>
      <c r="J100" s="41"/>
      <c r="K100" s="41"/>
      <c r="L100" s="41"/>
      <c r="M100" s="27">
        <f t="shared" si="33"/>
        <v>0</v>
      </c>
      <c r="N100" s="41"/>
      <c r="O100" s="41"/>
      <c r="P100" s="36">
        <f t="shared" si="32"/>
        <v>0</v>
      </c>
    </row>
    <row r="101" spans="1:16" ht="67.2" customHeight="1" x14ac:dyDescent="0.3">
      <c r="A101" s="12" t="s">
        <v>180</v>
      </c>
      <c r="B101" s="69" t="s">
        <v>181</v>
      </c>
      <c r="C101" s="70" t="s">
        <v>74</v>
      </c>
      <c r="D101" s="71">
        <v>1.38</v>
      </c>
      <c r="E101" s="71"/>
      <c r="F101" s="71"/>
      <c r="G101" s="71">
        <v>0.56999999999999995</v>
      </c>
      <c r="H101" s="71">
        <v>0.98</v>
      </c>
      <c r="I101" s="71">
        <v>2.7</v>
      </c>
      <c r="J101" s="71">
        <v>0.55000000000000004</v>
      </c>
      <c r="K101" s="71"/>
      <c r="L101" s="71"/>
      <c r="M101" s="72">
        <f t="shared" si="33"/>
        <v>6.18</v>
      </c>
      <c r="N101" s="71"/>
      <c r="O101" s="71"/>
      <c r="P101" s="36">
        <f t="shared" si="32"/>
        <v>6.18</v>
      </c>
    </row>
    <row r="102" spans="1:16" ht="35.4" customHeight="1" x14ac:dyDescent="0.3">
      <c r="A102" s="73">
        <v>9</v>
      </c>
      <c r="B102" s="74" t="s">
        <v>182</v>
      </c>
      <c r="C102" s="73" t="s">
        <v>33</v>
      </c>
      <c r="D102" s="41">
        <v>221.8</v>
      </c>
      <c r="E102" s="41"/>
      <c r="F102" s="39"/>
      <c r="G102" s="41">
        <v>238.63</v>
      </c>
      <c r="H102" s="41">
        <v>23.81</v>
      </c>
      <c r="I102" s="41">
        <v>92.7</v>
      </c>
      <c r="J102" s="41"/>
      <c r="K102" s="41"/>
      <c r="L102" s="41"/>
      <c r="M102" s="27">
        <f t="shared" si="33"/>
        <v>576.94000000000005</v>
      </c>
      <c r="N102" s="41"/>
      <c r="O102" s="41">
        <v>120</v>
      </c>
      <c r="P102" s="36">
        <f t="shared" si="32"/>
        <v>696.94</v>
      </c>
    </row>
    <row r="103" spans="1:16" ht="54" customHeight="1" x14ac:dyDescent="0.3">
      <c r="A103" s="75" t="s">
        <v>19</v>
      </c>
      <c r="B103" s="69" t="s">
        <v>183</v>
      </c>
      <c r="C103" s="70" t="s">
        <v>74</v>
      </c>
      <c r="D103" s="39">
        <v>2.7</v>
      </c>
      <c r="E103" s="39"/>
      <c r="F103" s="39"/>
      <c r="G103" s="39"/>
      <c r="H103" s="39">
        <v>5</v>
      </c>
      <c r="I103" s="39">
        <v>2.4</v>
      </c>
      <c r="J103" s="39"/>
      <c r="K103" s="39"/>
      <c r="L103" s="39"/>
      <c r="M103" s="27">
        <f t="shared" si="33"/>
        <v>10.1</v>
      </c>
      <c r="N103" s="39"/>
      <c r="O103" s="39"/>
      <c r="P103" s="36">
        <f t="shared" si="32"/>
        <v>10.1</v>
      </c>
    </row>
    <row r="104" spans="1:16" x14ac:dyDescent="0.3">
      <c r="A104" s="73">
        <v>11</v>
      </c>
      <c r="B104" s="76" t="s">
        <v>184</v>
      </c>
      <c r="C104" s="73" t="s">
        <v>33</v>
      </c>
      <c r="D104" s="59">
        <f t="shared" ref="D104:H104" si="38">D95+D96+D102</f>
        <v>8688.1986737335992</v>
      </c>
      <c r="E104" s="59">
        <f t="shared" si="38"/>
        <v>0</v>
      </c>
      <c r="F104" s="59">
        <f t="shared" si="38"/>
        <v>0</v>
      </c>
      <c r="G104" s="59">
        <f t="shared" si="38"/>
        <v>10343.29025</v>
      </c>
      <c r="H104" s="59">
        <f t="shared" si="38"/>
        <v>504.60358999999994</v>
      </c>
      <c r="I104" s="59">
        <f>I95+I96+I102</f>
        <v>3985.578</v>
      </c>
      <c r="J104" s="59">
        <f t="shared" ref="J104:L104" si="39">J95+J96</f>
        <v>36501.72709</v>
      </c>
      <c r="K104" s="59">
        <f t="shared" si="39"/>
        <v>2641.5058899999999</v>
      </c>
      <c r="L104" s="59">
        <f t="shared" si="39"/>
        <v>1231.6679600000002</v>
      </c>
      <c r="M104" s="31">
        <f t="shared" si="33"/>
        <v>63896.571453733595</v>
      </c>
      <c r="N104" s="59">
        <f t="shared" ref="N104" si="40">N95+N96</f>
        <v>5669.9995900000004</v>
      </c>
      <c r="O104" s="59">
        <f>O95+O96+O102</f>
        <v>1402.7328299999999</v>
      </c>
      <c r="P104" s="36">
        <f t="shared" si="32"/>
        <v>70969.303873733588</v>
      </c>
    </row>
    <row r="105" spans="1:16" x14ac:dyDescent="0.3">
      <c r="A105" s="73"/>
      <c r="B105" s="76" t="s">
        <v>185</v>
      </c>
      <c r="C105" s="73" t="s">
        <v>33</v>
      </c>
      <c r="D105" s="59">
        <f>D104</f>
        <v>8688.1986737335992</v>
      </c>
      <c r="E105" s="59"/>
      <c r="F105" s="59"/>
      <c r="G105" s="59">
        <f t="shared" ref="G105:L105" si="41">G104</f>
        <v>10343.29025</v>
      </c>
      <c r="H105" s="59">
        <f t="shared" si="41"/>
        <v>504.60358999999994</v>
      </c>
      <c r="I105" s="59">
        <f t="shared" si="41"/>
        <v>3985.578</v>
      </c>
      <c r="J105" s="59">
        <f t="shared" si="41"/>
        <v>36501.72709</v>
      </c>
      <c r="K105" s="59">
        <f t="shared" si="41"/>
        <v>2641.5058899999999</v>
      </c>
      <c r="L105" s="59">
        <f t="shared" si="41"/>
        <v>1231.6679600000002</v>
      </c>
      <c r="M105" s="31">
        <f t="shared" si="33"/>
        <v>63896.571453733595</v>
      </c>
      <c r="N105" s="59">
        <f t="shared" ref="N105:O105" si="42">N104</f>
        <v>5669.9995900000004</v>
      </c>
      <c r="O105" s="59">
        <f t="shared" si="42"/>
        <v>1402.7328299999999</v>
      </c>
      <c r="P105" s="36">
        <f t="shared" si="32"/>
        <v>70969.303873733588</v>
      </c>
    </row>
    <row r="106" spans="1:16" x14ac:dyDescent="0.3">
      <c r="A106" s="28"/>
      <c r="B106" s="77" t="str">
        <f>"Тариф на "&amp;тариф&amp;" (без НДС) "</f>
        <v xml:space="preserve">Тариф на питьевую воду (питьевое водоснабжение) (без НДС) </v>
      </c>
      <c r="C106" s="28" t="s">
        <v>186</v>
      </c>
      <c r="D106" s="30">
        <f>D105/D13</f>
        <v>28.254304630027963</v>
      </c>
      <c r="E106" s="30"/>
      <c r="F106" s="30"/>
      <c r="G106" s="30">
        <f>G105/G13</f>
        <v>43.883284896054306</v>
      </c>
      <c r="H106" s="30">
        <f>H105/H13</f>
        <v>27.01304014989293</v>
      </c>
      <c r="I106" s="30">
        <f>I105/I13</f>
        <v>50.836454081632652</v>
      </c>
      <c r="J106" s="30">
        <f>J105/J13*1000</f>
        <v>1672.3965495280856</v>
      </c>
      <c r="K106" s="30">
        <f>K105/K13*1000</f>
        <v>220.12549083333332</v>
      </c>
      <c r="L106" s="30">
        <f>L105/L13</f>
        <v>68.274277161862543</v>
      </c>
      <c r="M106" s="31"/>
      <c r="N106" s="30" t="e">
        <f>N105/N13</f>
        <v>#DIV/0!</v>
      </c>
      <c r="O106" s="30" t="e">
        <f>O105/O13</f>
        <v>#DIV/0!</v>
      </c>
      <c r="P106" s="30"/>
    </row>
    <row r="107" spans="1:16" x14ac:dyDescent="0.3">
      <c r="A107" s="28"/>
      <c r="B107" s="77" t="str">
        <f>"Тариф на "&amp;тариф&amp;" (с НДС) "</f>
        <v xml:space="preserve">Тариф на питьевую воду (питьевое водоснабжение) (с НДС) </v>
      </c>
      <c r="C107" s="78" t="s">
        <v>186</v>
      </c>
      <c r="D107" s="30">
        <f>D106</f>
        <v>28.254304630027963</v>
      </c>
      <c r="E107" s="30"/>
      <c r="F107" s="30"/>
      <c r="G107" s="30">
        <f t="shared" ref="G107:L107" si="43">G106</f>
        <v>43.883284896054306</v>
      </c>
      <c r="H107" s="30">
        <f t="shared" si="43"/>
        <v>27.01304014989293</v>
      </c>
      <c r="I107" s="30">
        <f t="shared" si="43"/>
        <v>50.836454081632652</v>
      </c>
      <c r="J107" s="30">
        <f t="shared" si="43"/>
        <v>1672.3965495280856</v>
      </c>
      <c r="K107" s="30">
        <f t="shared" si="43"/>
        <v>220.12549083333332</v>
      </c>
      <c r="L107" s="30">
        <f t="shared" si="43"/>
        <v>68.274277161862543</v>
      </c>
      <c r="M107" s="31"/>
      <c r="N107" s="30" t="e">
        <f t="shared" ref="N107:O107" si="44">N106</f>
        <v>#DIV/0!</v>
      </c>
      <c r="O107" s="30" t="e">
        <f t="shared" si="44"/>
        <v>#DIV/0!</v>
      </c>
      <c r="P107" s="30"/>
    </row>
    <row r="108" spans="1:16" x14ac:dyDescent="0.3">
      <c r="A108" s="78"/>
      <c r="B108" s="79" t="s">
        <v>187</v>
      </c>
      <c r="C108" s="78" t="s">
        <v>74</v>
      </c>
      <c r="D108" s="80">
        <f>D107/27.1*100</f>
        <v>104.25942667906997</v>
      </c>
      <c r="E108" s="80"/>
      <c r="F108" s="80"/>
      <c r="G108" s="80">
        <f>G107/41*100</f>
        <v>107.0324021854983</v>
      </c>
      <c r="H108" s="80">
        <f>H107/25.26*100</f>
        <v>106.93998475808762</v>
      </c>
      <c r="I108" s="80">
        <f>I107/49.6*100</f>
        <v>102.49285097103358</v>
      </c>
      <c r="J108" s="80">
        <v>104</v>
      </c>
      <c r="K108" s="80">
        <f>K107/199.33*100</f>
        <v>110.43269494473149</v>
      </c>
      <c r="L108" s="80">
        <f>L107/63.1*100</f>
        <v>108.20012228504365</v>
      </c>
      <c r="M108" s="81"/>
      <c r="N108" s="80" t="e">
        <f t="shared" ref="N108:O108" si="45">N107/27.1*100</f>
        <v>#DIV/0!</v>
      </c>
      <c r="O108" s="80" t="e">
        <f t="shared" si="45"/>
        <v>#DIV/0!</v>
      </c>
      <c r="P108" s="80"/>
    </row>
    <row r="109" spans="1:16" x14ac:dyDescent="0.3">
      <c r="A109" s="82"/>
      <c r="B109" s="82" t="s">
        <v>188</v>
      </c>
      <c r="C109" s="82"/>
      <c r="D109" s="83">
        <f>D104-D95</f>
        <v>336.79999999999927</v>
      </c>
      <c r="E109" s="83">
        <f t="shared" ref="E109:O109" si="46">E104-E95</f>
        <v>0</v>
      </c>
      <c r="F109" s="83">
        <f t="shared" si="46"/>
        <v>0</v>
      </c>
      <c r="G109" s="83">
        <f t="shared" si="46"/>
        <v>294.22999999999956</v>
      </c>
      <c r="H109" s="83">
        <f t="shared" si="46"/>
        <v>28.454999999999984</v>
      </c>
      <c r="I109" s="83">
        <f t="shared" si="46"/>
        <v>195.19999999999982</v>
      </c>
      <c r="J109" s="83">
        <f t="shared" si="46"/>
        <v>198.75</v>
      </c>
      <c r="K109" s="83">
        <f>K104-K95</f>
        <v>65</v>
      </c>
      <c r="L109" s="83">
        <f t="shared" si="46"/>
        <v>43.630000000000109</v>
      </c>
      <c r="M109" s="83">
        <f t="shared" si="46"/>
        <v>1162.0649999999878</v>
      </c>
      <c r="N109" s="83">
        <f t="shared" si="46"/>
        <v>0</v>
      </c>
      <c r="O109" s="83">
        <f t="shared" si="46"/>
        <v>180</v>
      </c>
      <c r="P109" s="83">
        <f>SUM(D109:O109)</f>
        <v>2504.1299999999865</v>
      </c>
    </row>
    <row r="110" spans="1:1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/>
      <c r="N110" s="1"/>
      <c r="O110" s="1"/>
      <c r="P110" s="1"/>
    </row>
  </sheetData>
  <mergeCells count="16">
    <mergeCell ref="E1:L2"/>
    <mergeCell ref="A2:D2"/>
    <mergeCell ref="A3:D3"/>
    <mergeCell ref="A6:A8"/>
    <mergeCell ref="B6:B8"/>
    <mergeCell ref="C6:C8"/>
    <mergeCell ref="D6:P6"/>
    <mergeCell ref="D7:F7"/>
    <mergeCell ref="A73:A74"/>
    <mergeCell ref="B73:B74"/>
    <mergeCell ref="A35:A36"/>
    <mergeCell ref="B35:B36"/>
    <mergeCell ref="A43:A44"/>
    <mergeCell ref="B43:B44"/>
    <mergeCell ref="A58:A59"/>
    <mergeCell ref="B58:B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Петровна</dc:creator>
  <cp:lastModifiedBy>Юлия Петровна</cp:lastModifiedBy>
  <dcterms:created xsi:type="dcterms:W3CDTF">2016-04-27T11:59:30Z</dcterms:created>
  <dcterms:modified xsi:type="dcterms:W3CDTF">2016-04-27T12:17:38Z</dcterms:modified>
</cp:coreProperties>
</file>